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Y:\IR\USERS\snmdcx\Future Semester Reports\FSR FY22\202102 summer\Reports\"/>
    </mc:Choice>
  </mc:AlternateContent>
  <bookViews>
    <workbookView xWindow="0" yWindow="456" windowWidth="24444" windowHeight="14724"/>
  </bookViews>
  <sheets>
    <sheet name="Summer 202102 FSR Summary" sheetId="1" r:id="rId1"/>
    <sheet name="data" sheetId="2" state="hidden" r:id="rId2"/>
    <sheet name="uaa PI" sheetId="3" state="hidden" r:id="rId3"/>
    <sheet name="uaf PI" sheetId="4" state="hidden" r:id="rId4"/>
    <sheet name="uas PI" sheetId="5" state="hidden" r:id="rId5"/>
    <sheet name="system PI" sheetId="6" state="hidden" r:id="rId6"/>
  </sheets>
  <definedNames>
    <definedName name="_xlnm._FilterDatabase" localSheetId="2" hidden="1">'uaa PI'!$F$3:$AC$6</definedName>
    <definedName name="_xlnm.Print_Area" localSheetId="0">'Summer 202102 FSR Summary'!$A$1:$P$45</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39" i="6" l="1"/>
  <c r="F38" i="6"/>
  <c r="F39" i="5"/>
  <c r="F38" i="5"/>
  <c r="F39" i="4"/>
  <c r="F38" i="4"/>
  <c r="F39" i="3"/>
  <c r="F38" i="3"/>
  <c r="Q64" i="2"/>
  <c r="Q61" i="2"/>
  <c r="Q62" i="2"/>
  <c r="Q63" i="2"/>
  <c r="Q46" i="2"/>
  <c r="Q47" i="2"/>
  <c r="Q48" i="2"/>
  <c r="Q49" i="2"/>
  <c r="Q50" i="2"/>
  <c r="Q51" i="2"/>
  <c r="Q52" i="2"/>
  <c r="Q53" i="2"/>
  <c r="Q54" i="2"/>
  <c r="Q55" i="2"/>
  <c r="Q56" i="2"/>
  <c r="Q57" i="2"/>
  <c r="Q58" i="2"/>
  <c r="Q59" i="2"/>
  <c r="Q60" i="2"/>
  <c r="A3" i="1" l="1"/>
  <c r="G42" i="6" l="1"/>
  <c r="G42" i="5"/>
  <c r="K23" i="1"/>
  <c r="G23" i="1"/>
  <c r="C23" i="1"/>
  <c r="Q31" i="2"/>
  <c r="Q32" i="2"/>
  <c r="Q33" i="2"/>
  <c r="Q34" i="2"/>
  <c r="Q35" i="2"/>
  <c r="Q36" i="2"/>
  <c r="Q37" i="2"/>
  <c r="Q38" i="2"/>
  <c r="Q39" i="2"/>
  <c r="Q40" i="2"/>
  <c r="Q41" i="2"/>
  <c r="Q42" i="2"/>
  <c r="Q43" i="2"/>
  <c r="Q44" i="2"/>
  <c r="Q45" i="2"/>
  <c r="J23" i="1"/>
  <c r="J24" i="1"/>
  <c r="K24" i="1"/>
  <c r="J25" i="1"/>
  <c r="K25" i="1"/>
  <c r="J26" i="1"/>
  <c r="K26" i="1"/>
  <c r="J27" i="1"/>
  <c r="K27" i="1"/>
  <c r="K28" i="1"/>
  <c r="K29" i="1"/>
  <c r="J28" i="1"/>
  <c r="L28" i="1" s="1"/>
  <c r="J29" i="1"/>
  <c r="L29" i="1" s="1"/>
  <c r="G24" i="1"/>
  <c r="G25" i="1"/>
  <c r="G26" i="1"/>
  <c r="G27" i="1"/>
  <c r="G28" i="1"/>
  <c r="G29" i="1"/>
  <c r="G30" i="1"/>
  <c r="G31" i="1"/>
  <c r="F23" i="1"/>
  <c r="F24" i="1"/>
  <c r="F25" i="1"/>
  <c r="F26" i="1"/>
  <c r="F27" i="1"/>
  <c r="H27" i="1" s="1"/>
  <c r="F28" i="1"/>
  <c r="F29" i="1"/>
  <c r="F30" i="1"/>
  <c r="F31" i="1"/>
  <c r="J31" i="1"/>
  <c r="B23" i="1"/>
  <c r="C24" i="1"/>
  <c r="C25" i="1"/>
  <c r="C26" i="1"/>
  <c r="C27" i="1"/>
  <c r="C28" i="1"/>
  <c r="C29" i="1"/>
  <c r="C30" i="1"/>
  <c r="C31" i="1"/>
  <c r="B24" i="1"/>
  <c r="D24" i="1" s="1"/>
  <c r="B25" i="1"/>
  <c r="D25" i="1" s="1"/>
  <c r="B26" i="1"/>
  <c r="D26" i="1" s="1"/>
  <c r="B27" i="1"/>
  <c r="D27" i="1" s="1"/>
  <c r="B28" i="1"/>
  <c r="B29" i="1"/>
  <c r="D29" i="1" s="1"/>
  <c r="B30" i="1"/>
  <c r="B31" i="1"/>
  <c r="D31" i="1" s="1"/>
  <c r="O16" i="1"/>
  <c r="O18" i="1" s="1"/>
  <c r="N16" i="1"/>
  <c r="N18" i="1" s="1"/>
  <c r="K16" i="1"/>
  <c r="K18" i="1" s="1"/>
  <c r="J16" i="1"/>
  <c r="J18" i="1" s="1"/>
  <c r="G16" i="1"/>
  <c r="G18" i="1" s="1"/>
  <c r="F16" i="1"/>
  <c r="F18" i="1" s="1"/>
  <c r="C16" i="1"/>
  <c r="C18" i="1" s="1"/>
  <c r="B16" i="1"/>
  <c r="B18" i="1" s="1"/>
  <c r="O15" i="1"/>
  <c r="O17" i="1" s="1"/>
  <c r="N15" i="1"/>
  <c r="N17" i="1" s="1"/>
  <c r="K15" i="1"/>
  <c r="K17" i="1" s="1"/>
  <c r="J15" i="1"/>
  <c r="J17" i="1" s="1"/>
  <c r="G15" i="1"/>
  <c r="G17" i="1" s="1"/>
  <c r="F15" i="1"/>
  <c r="F17" i="1" s="1"/>
  <c r="C15" i="1"/>
  <c r="C17" i="1" s="1"/>
  <c r="B15" i="1"/>
  <c r="B17" i="1" s="1"/>
  <c r="Q65" i="2"/>
  <c r="Q66" i="2"/>
  <c r="Q67" i="2"/>
  <c r="K38" i="5"/>
  <c r="F42" i="5"/>
  <c r="Q68" i="2"/>
  <c r="Q69" i="2"/>
  <c r="K30" i="1"/>
  <c r="K31" i="1"/>
  <c r="K21" i="1"/>
  <c r="K22" i="1"/>
  <c r="K20" i="1"/>
  <c r="J30" i="1"/>
  <c r="J21" i="1"/>
  <c r="J22" i="1"/>
  <c r="L22" i="1" s="1"/>
  <c r="J20" i="1"/>
  <c r="L20" i="1" s="1"/>
  <c r="G21" i="1"/>
  <c r="G22" i="1"/>
  <c r="G20" i="1"/>
  <c r="F21" i="1"/>
  <c r="F22" i="1"/>
  <c r="F20" i="1"/>
  <c r="C21" i="1"/>
  <c r="C22" i="1"/>
  <c r="B21" i="1"/>
  <c r="B22" i="1"/>
  <c r="D22" i="1" s="1"/>
  <c r="B20" i="1"/>
  <c r="AE7" i="2"/>
  <c r="AE8" i="2"/>
  <c r="AE9" i="2"/>
  <c r="AE10" i="2"/>
  <c r="AE11" i="2"/>
  <c r="AE12" i="2"/>
  <c r="AE13" i="2"/>
  <c r="AE14" i="2"/>
  <c r="AE15" i="2"/>
  <c r="AE16" i="2"/>
  <c r="AE17" i="2"/>
  <c r="AE3" i="2"/>
  <c r="AE4" i="2"/>
  <c r="AE5" i="2"/>
  <c r="AE6" i="2"/>
  <c r="O38" i="1"/>
  <c r="J42" i="6"/>
  <c r="K38" i="6"/>
  <c r="F42" i="6"/>
  <c r="K38" i="1"/>
  <c r="J42" i="5"/>
  <c r="G38" i="1"/>
  <c r="J42" i="4"/>
  <c r="G42" i="4"/>
  <c r="K38" i="4"/>
  <c r="F42" i="4"/>
  <c r="C38" i="1"/>
  <c r="J42" i="3"/>
  <c r="G42" i="3"/>
  <c r="K38" i="3"/>
  <c r="F42" i="3"/>
  <c r="Q30" i="2"/>
  <c r="A36" i="6"/>
  <c r="A36" i="5"/>
  <c r="A36" i="4"/>
  <c r="A36" i="3"/>
  <c r="AE2" i="2"/>
  <c r="A58" i="1"/>
  <c r="A57" i="1"/>
  <c r="C20" i="1"/>
  <c r="K11" i="1"/>
  <c r="K10" i="1"/>
  <c r="K13" i="1"/>
  <c r="J13" i="1"/>
  <c r="K12" i="1"/>
  <c r="J12" i="1"/>
  <c r="N10" i="1"/>
  <c r="O10" i="1"/>
  <c r="N11" i="1"/>
  <c r="O11" i="1"/>
  <c r="N12" i="1"/>
  <c r="O12" i="1"/>
  <c r="N13" i="1"/>
  <c r="O13" i="1"/>
  <c r="J10" i="1"/>
  <c r="J11" i="1"/>
  <c r="B10" i="1"/>
  <c r="C10" i="1"/>
  <c r="B11" i="1"/>
  <c r="C11" i="1"/>
  <c r="B12" i="1"/>
  <c r="C12" i="1"/>
  <c r="B13" i="1"/>
  <c r="C13" i="1"/>
  <c r="G11" i="1"/>
  <c r="G10" i="1"/>
  <c r="G13" i="1"/>
  <c r="G12" i="1"/>
  <c r="F13" i="1"/>
  <c r="H13" i="1" s="1"/>
  <c r="F12" i="1"/>
  <c r="H12" i="1" s="1"/>
  <c r="F11" i="1"/>
  <c r="H11" i="1" s="1"/>
  <c r="F10" i="1"/>
  <c r="H10" i="1" s="1"/>
  <c r="N27" i="1"/>
  <c r="D21" i="1"/>
  <c r="L21" i="1"/>
  <c r="D13" i="1" l="1"/>
  <c r="D12" i="1"/>
  <c r="H42" i="4"/>
  <c r="I42" i="4" s="1"/>
  <c r="F37" i="1" s="1"/>
  <c r="L25" i="1"/>
  <c r="H42" i="6"/>
  <c r="I42" i="6" s="1"/>
  <c r="N37" i="1" s="1"/>
  <c r="H42" i="5"/>
  <c r="I42" i="5" s="1"/>
  <c r="J37" i="1" s="1"/>
  <c r="H42" i="3"/>
  <c r="K42" i="3" s="1"/>
  <c r="D37" i="1" s="1"/>
  <c r="B33" i="1"/>
  <c r="H31" i="1"/>
  <c r="N26" i="1"/>
  <c r="D10" i="1"/>
  <c r="O20" i="1"/>
  <c r="O28" i="1"/>
  <c r="O24" i="1"/>
  <c r="O25" i="1"/>
  <c r="O23" i="1"/>
  <c r="D20" i="1"/>
  <c r="O30" i="1"/>
  <c r="L31" i="1"/>
  <c r="H15" i="1"/>
  <c r="P11" i="1"/>
  <c r="L12" i="1"/>
  <c r="L30" i="1"/>
  <c r="N30" i="1"/>
  <c r="J33" i="1"/>
  <c r="N22" i="1"/>
  <c r="O22" i="1"/>
  <c r="N20" i="1"/>
  <c r="H21" i="1"/>
  <c r="G33" i="1"/>
  <c r="K33" i="1"/>
  <c r="O21" i="1"/>
  <c r="L24" i="1"/>
  <c r="N21" i="1"/>
  <c r="N31" i="1"/>
  <c r="F33" i="1"/>
  <c r="P16" i="1"/>
  <c r="N25" i="1"/>
  <c r="N24" i="1"/>
  <c r="H22" i="1"/>
  <c r="D30" i="1"/>
  <c r="D28" i="1"/>
  <c r="O31" i="1"/>
  <c r="P31" i="1" s="1"/>
  <c r="O29" i="1"/>
  <c r="O27" i="1"/>
  <c r="P27" i="1" s="1"/>
  <c r="N23" i="1"/>
  <c r="H29" i="1"/>
  <c r="H30" i="1"/>
  <c r="H28" i="1"/>
  <c r="O26" i="1"/>
  <c r="L26" i="1"/>
  <c r="L16" i="1"/>
  <c r="D15" i="1"/>
  <c r="N28" i="1"/>
  <c r="C33" i="1"/>
  <c r="N29" i="1"/>
  <c r="P29" i="1" s="1"/>
  <c r="H20" i="1"/>
  <c r="D23" i="1"/>
  <c r="D11" i="1"/>
  <c r="L11" i="1"/>
  <c r="P12" i="1"/>
  <c r="P10" i="1"/>
  <c r="L10" i="1"/>
  <c r="D17" i="1"/>
  <c r="H17" i="1"/>
  <c r="L17" i="1"/>
  <c r="P17" i="1"/>
  <c r="D18" i="1"/>
  <c r="H18" i="1"/>
  <c r="L18" i="1"/>
  <c r="P18" i="1"/>
  <c r="L15" i="1"/>
  <c r="D16" i="1"/>
  <c r="H16" i="1"/>
  <c r="P15" i="1"/>
  <c r="K42" i="6" l="1"/>
  <c r="P37" i="1" s="1"/>
  <c r="P30" i="1"/>
  <c r="K42" i="5"/>
  <c r="L37" i="1" s="1"/>
  <c r="K42" i="4"/>
  <c r="H37" i="1" s="1"/>
  <c r="D33" i="1"/>
  <c r="P24" i="1"/>
  <c r="P20" i="1"/>
  <c r="P22" i="1"/>
  <c r="P28" i="1"/>
  <c r="P25" i="1"/>
  <c r="I42" i="3"/>
  <c r="B37" i="1" s="1"/>
  <c r="P26" i="1"/>
  <c r="P23" i="1"/>
  <c r="H33" i="1"/>
  <c r="P21" i="1"/>
  <c r="L33" i="1"/>
  <c r="O33" i="1"/>
  <c r="N33" i="1"/>
  <c r="P33" i="1" l="1"/>
</calcChain>
</file>

<file path=xl/sharedStrings.xml><?xml version="1.0" encoding="utf-8"?>
<sst xmlns="http://schemas.openxmlformats.org/spreadsheetml/2006/main" count="641" uniqueCount="156">
  <si>
    <t>UA Anchorage</t>
  </si>
  <si>
    <t>UA Fairbanks</t>
  </si>
  <si>
    <t>UA Southeast</t>
  </si>
  <si>
    <t xml:space="preserve">Percent </t>
  </si>
  <si>
    <t>Change</t>
  </si>
  <si>
    <t>Applications</t>
  </si>
  <si>
    <t>Admissions</t>
  </si>
  <si>
    <t>UA Scholar Applications</t>
  </si>
  <si>
    <t>UA Scholar Admissions</t>
  </si>
  <si>
    <t>Enrolled Headcount</t>
  </si>
  <si>
    <t>Enrolled SCH</t>
  </si>
  <si>
    <t>Lower Division Undergraduate</t>
  </si>
  <si>
    <t>Upper Division Undergraduate</t>
  </si>
  <si>
    <t>Graduate</t>
  </si>
  <si>
    <t>updated for</t>
  </si>
  <si>
    <t>Course Fees</t>
  </si>
  <si>
    <t>report_date</t>
  </si>
  <si>
    <t>mau</t>
  </si>
  <si>
    <t>sort_order</t>
  </si>
  <si>
    <t>type_ind</t>
  </si>
  <si>
    <t>applied_y</t>
  </si>
  <si>
    <t>applied_n</t>
  </si>
  <si>
    <t>admit_y</t>
  </si>
  <si>
    <t>admit_n</t>
  </si>
  <si>
    <t>old_report_date</t>
  </si>
  <si>
    <t>old_applied_y</t>
  </si>
  <si>
    <t>old_applied_n</t>
  </si>
  <si>
    <t>old_admit_y</t>
  </si>
  <si>
    <t>old_admit_n</t>
  </si>
  <si>
    <t>UAA</t>
  </si>
  <si>
    <t>a1</t>
  </si>
  <si>
    <t>All UA Scholars</t>
  </si>
  <si>
    <t>a3</t>
  </si>
  <si>
    <t>First-Time Freshmen</t>
  </si>
  <si>
    <t>a4</t>
  </si>
  <si>
    <t>All Undergraduates</t>
  </si>
  <si>
    <t>a5</t>
  </si>
  <si>
    <t>Graduates</t>
  </si>
  <si>
    <t>UAF</t>
  </si>
  <si>
    <t>UAS</t>
  </si>
  <si>
    <t>UAT</t>
  </si>
  <si>
    <t>Applications and Admissions Data</t>
  </si>
  <si>
    <t>new_report_date</t>
  </si>
  <si>
    <t>ac_org</t>
  </si>
  <si>
    <t>new_hdct</t>
  </si>
  <si>
    <t>new_sch</t>
  </si>
  <si>
    <t>old_hdct</t>
  </si>
  <si>
    <t>old_sch</t>
  </si>
  <si>
    <t>HDCT and SCH Data</t>
  </si>
  <si>
    <t>Tuition Data</t>
  </si>
  <si>
    <t>UA System</t>
  </si>
  <si>
    <t>row check</t>
  </si>
  <si>
    <t>closing</t>
  </si>
  <si>
    <t>semester</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</si>
  <si>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</si>
  <si>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</si>
  <si>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</si>
  <si>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</si>
  <si>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</si>
  <si>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</si>
  <si>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</si>
  <si>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</si>
  <si>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</si>
  <si>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</si>
  <si>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</si>
  <si>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</si>
  <si>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</si>
  <si>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</si>
  <si>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</si>
  <si>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</si>
  <si>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</si>
  <si>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</si>
  <si>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</si>
  <si>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</si>
  <si>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</si>
  <si>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</si>
  <si>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</si>
  <si>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</si>
  <si>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</si>
  <si>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date</t>
  </si>
  <si>
    <t>SUMMARY OUTPUT</t>
  </si>
  <si>
    <t>Regression Statistics</t>
  </si>
  <si>
    <t>Multiple R</t>
  </si>
  <si>
    <t>R Square</t>
  </si>
  <si>
    <t>Adjusted R Square</t>
  </si>
  <si>
    <t>Standard Error</t>
  </si>
  <si>
    <t>Observations</t>
  </si>
  <si>
    <t>ANOVA</t>
  </si>
  <si>
    <t>df</t>
  </si>
  <si>
    <t>SS</t>
  </si>
  <si>
    <t>MS</t>
  </si>
  <si>
    <t>F</t>
  </si>
  <si>
    <t>Significance F</t>
  </si>
  <si>
    <t>Regression</t>
  </si>
  <si>
    <t>Residual</t>
  </si>
  <si>
    <t>Total</t>
  </si>
  <si>
    <t>Coefficients</t>
  </si>
  <si>
    <t>t Stat</t>
  </si>
  <si>
    <t>P-value</t>
  </si>
  <si>
    <t>Lower 95%</t>
  </si>
  <si>
    <t>Upper 95%</t>
  </si>
  <si>
    <t>Lower 95.0%</t>
  </si>
  <si>
    <t>Upper 95.0%</t>
  </si>
  <si>
    <t>Intercept</t>
  </si>
  <si>
    <t>Mean of week i</t>
  </si>
  <si>
    <t>Pred Level</t>
  </si>
  <si>
    <t>Alpha</t>
  </si>
  <si>
    <t>Std Dev of week i</t>
  </si>
  <si>
    <t>week i value</t>
  </si>
  <si>
    <t>t-value</t>
  </si>
  <si>
    <t>std error pred</t>
  </si>
  <si>
    <t>marg err pred</t>
  </si>
  <si>
    <t>lower bound</t>
  </si>
  <si>
    <t>point pred</t>
  </si>
  <si>
    <t>upper bound</t>
  </si>
  <si>
    <t>week 26</t>
  </si>
  <si>
    <t>week 27</t>
  </si>
  <si>
    <t>Predicted Closing Headcount (90% PI)</t>
  </si>
  <si>
    <t>p-value</t>
  </si>
  <si>
    <t>Lower Bound</t>
  </si>
  <si>
    <t>Upper Bound</t>
  </si>
  <si>
    <t>Come Home to Alaska</t>
  </si>
  <si>
    <t>Western Undergraduate Exchange</t>
  </si>
  <si>
    <t>Non-Resident Surcharge</t>
  </si>
  <si>
    <t>Other Tuition</t>
  </si>
  <si>
    <t>Student Fees</t>
  </si>
  <si>
    <t>Facilities Fee</t>
  </si>
  <si>
    <t>Network Fee</t>
  </si>
  <si>
    <t>Total Actual Tuition and Fees</t>
  </si>
  <si>
    <t>fee_type</t>
  </si>
  <si>
    <t>new_total_amt</t>
  </si>
  <si>
    <t>old_total_amt</t>
  </si>
  <si>
    <t>10_lower level</t>
  </si>
  <si>
    <t>20_upper level</t>
  </si>
  <si>
    <t>30_graduate level</t>
  </si>
  <si>
    <t>50_come home to ak</t>
  </si>
  <si>
    <t>60_wue</t>
  </si>
  <si>
    <t>70_non-res tuition</t>
  </si>
  <si>
    <t>79_other tuition</t>
  </si>
  <si>
    <t>80_course fees</t>
  </si>
  <si>
    <t>85_student fees</t>
  </si>
  <si>
    <t>90_facilities fee</t>
  </si>
  <si>
    <t>95_network fee</t>
  </si>
  <si>
    <t>new_facilities</t>
  </si>
  <si>
    <t>old_facilities</t>
  </si>
  <si>
    <t>Prior Year Semester Closing Headcount</t>
  </si>
  <si>
    <t>Prediction Interval</t>
  </si>
  <si>
    <t xml:space="preserve"> </t>
  </si>
  <si>
    <t>CTE Discount</t>
  </si>
  <si>
    <t>40_OEC discount</t>
  </si>
  <si>
    <t>To-Date Number of Student Applications, Admissions, Enrollment, and Tuition Revenue, Summer Semesters</t>
  </si>
  <si>
    <t>INTERNAL USE ONLY</t>
  </si>
  <si>
    <t>DNE</t>
  </si>
  <si>
    <t>Percent of Opening Headcount</t>
  </si>
  <si>
    <t>Percent of Opening SCH</t>
  </si>
  <si>
    <t>31May2021 and 1Jun2020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</si>
</sst>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
    <numFmt numFmtId="165" formatCode="mmmm\ d\,\ yyyy"/>
    <numFmt numFmtId="166" formatCode="_(* #,##0_);_(* \(#,##0\);_(* &quot;-&quot;??_);_(@_)"/>
    <numFmt numFmtId="167" formatCode="#,##0.000"/>
    <numFmt numFmtId="168" formatCode="[$-409]d/mmm/yy;@"/>
    <numFmt numFmtId="169" formatCode="0.0"/>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9"/>
      <name val="Arial"/>
      <family val="2"/>
    </font>
    <font>
      <sz val="9"/>
      <name val="Arial"/>
      <family val="2"/>
    </font>
    <font>
      <sz val="8"/>
      <name val="Arial"/>
      <family val="2"/>
    </font>
    <font>
      <b/>
      <sz val="11"/>
      <name val="Arial"/>
      <family val="2"/>
    </font>
    <font>
      <sz val="9"/>
      <color indexed="10"/>
      <name val="Arial"/>
      <family val="2"/>
    </font>
    <font>
      <sz val="11"/>
      <color rgb="FF006100"/>
      <name val="Calibri"/>
      <family val="2"/>
      <scheme val="minor"/>
    </font>
    <font>
      <b/>
      <sz val="12"/>
      <color rgb="FF006100"/>
      <name val="Calibri"/>
      <family val="2"/>
      <scheme val="minor"/>
    </font>
    <font>
      <b/>
      <sz val="14"/>
      <color rgb="FF006100"/>
      <name val="Calibri"/>
      <family val="2"/>
      <scheme val="minor"/>
    </font>
    <font>
      <sz val="10"/>
      <name val="Arial"/>
      <family val="2"/>
    </font>
    <font>
      <sz val="11"/>
      <color theme="1"/>
      <name val="Calibri"/>
      <family val="2"/>
    </font>
    <font>
      <sz val="11"/>
      <name val="Calibri"/>
      <family val="2"/>
    </font>
    <font>
      <i/>
      <sz val="10"/>
      <name val="Arial"/>
      <family val="2"/>
    </font>
    <font>
      <b/>
      <sz val="11"/>
      <color rgb="FFFF0000"/>
      <name val="Calibri"/>
      <family val="2"/>
      <scheme val="minor"/>
    </font>
    <font>
      <sz val="11"/>
      <name val="Calibri"/>
      <family val="2"/>
      <scheme val="minor"/>
    </font>
    <font>
      <u/>
      <sz val="10"/>
      <color theme="10"/>
      <name val="Arial"/>
      <family val="2"/>
    </font>
    <font>
      <u/>
      <sz val="10"/>
      <color theme="11"/>
      <name val="Arial"/>
      <family val="2"/>
    </font>
  </fonts>
  <fills count="3">
    <fill>
      <patternFill patternType="none"/>
    </fill>
    <fill>
      <patternFill patternType="gray125"/>
    </fill>
    <fill>
      <patternFill patternType="solid">
        <fgColor rgb="FFC6EFCE"/>
      </patternFill>
    </fill>
  </fills>
  <borders count="4">
    <border>
      <left/>
      <right/>
      <top/>
      <bottom/>
      <diagonal/>
    </border>
    <border>
      <left/>
      <right/>
      <top/>
      <bottom style="thin">
        <color auto="1"/>
      </bottom>
      <diagonal/>
    </border>
    <border>
      <left/>
      <right/>
      <top style="medium">
        <color auto="1"/>
      </top>
      <bottom style="thin">
        <color auto="1"/>
      </bottom>
      <diagonal/>
    </border>
    <border>
      <left/>
      <right/>
      <top/>
      <bottom style="medium">
        <color auto="1"/>
      </bottom>
      <diagonal/>
    </border>
  </borders>
  <cellStyleXfs count="31">
    <xf numFmtId="0" fontId="0" fillId="0" borderId="0"/>
    <xf numFmtId="0" fontId="9" fillId="2" borderId="0" applyNumberFormat="0" applyBorder="0" applyAlignment="0" applyProtection="0"/>
    <xf numFmtId="0" fontId="3" fillId="0" borderId="0"/>
    <xf numFmtId="9" fontId="12" fillId="0" borderId="0" applyFont="0" applyFill="0" applyBorder="0" applyAlignment="0" applyProtection="0"/>
    <xf numFmtId="43" fontId="12"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58">
    <xf numFmtId="0" fontId="0" fillId="0" borderId="0" xfId="0"/>
    <xf numFmtId="0" fontId="4" fillId="0" borderId="0" xfId="0" applyFont="1"/>
    <xf numFmtId="0" fontId="5" fillId="0" borderId="0" xfId="0" applyFont="1"/>
    <xf numFmtId="15" fontId="5" fillId="0" borderId="0" xfId="0" applyNumberFormat="1" applyFont="1"/>
    <xf numFmtId="3" fontId="5" fillId="0" borderId="0" xfId="0" applyNumberFormat="1" applyFont="1"/>
    <xf numFmtId="0" fontId="5" fillId="0" borderId="0" xfId="0" applyFont="1" applyAlignment="1">
      <alignment horizontal="right"/>
    </xf>
    <xf numFmtId="0" fontId="5" fillId="0" borderId="1" xfId="0" applyFont="1" applyBorder="1" applyAlignment="1">
      <alignment horizontal="right"/>
    </xf>
    <xf numFmtId="164" fontId="5" fillId="0" borderId="0" xfId="0" applyNumberFormat="1" applyFont="1"/>
    <xf numFmtId="165" fontId="4" fillId="0" borderId="0" xfId="0" applyNumberFormat="1" applyFont="1" applyAlignment="1">
      <alignment horizontal="left"/>
    </xf>
    <xf numFmtId="0" fontId="4" fillId="0" borderId="0" xfId="0" applyFont="1" applyAlignment="1">
      <alignment horizontal="right"/>
    </xf>
    <xf numFmtId="0" fontId="6" fillId="0" borderId="0" xfId="0" applyFont="1" applyAlignment="1">
      <alignment horizontal="left"/>
    </xf>
    <xf numFmtId="0" fontId="8" fillId="0" borderId="0" xfId="0" applyFont="1"/>
    <xf numFmtId="15" fontId="0" fillId="0" borderId="0" xfId="0" applyNumberFormat="1"/>
    <xf numFmtId="0" fontId="12" fillId="0" borderId="0" xfId="0" applyFont="1"/>
    <xf numFmtId="0" fontId="13" fillId="0" borderId="0" xfId="2" applyFont="1"/>
    <xf numFmtId="1" fontId="13" fillId="0" borderId="0" xfId="2" applyNumberFormat="1" applyFont="1"/>
    <xf numFmtId="0" fontId="14" fillId="0" borderId="0" xfId="0" applyFont="1"/>
    <xf numFmtId="15" fontId="13" fillId="0" borderId="0" xfId="2" applyNumberFormat="1" applyFont="1"/>
    <xf numFmtId="0" fontId="3" fillId="0" borderId="0" xfId="2"/>
    <xf numFmtId="0" fontId="15" fillId="0" borderId="2" xfId="0" applyFont="1" applyFill="1" applyBorder="1" applyAlignment="1">
      <alignment horizontal="centerContinuous"/>
    </xf>
    <xf numFmtId="0" fontId="0" fillId="0" borderId="0" xfId="0" applyFill="1" applyBorder="1" applyAlignment="1"/>
    <xf numFmtId="0" fontId="0" fillId="0" borderId="3" xfId="0" applyFill="1" applyBorder="1" applyAlignment="1"/>
    <xf numFmtId="0" fontId="15" fillId="0" borderId="2" xfId="0" applyFont="1" applyFill="1" applyBorder="1" applyAlignment="1">
      <alignment horizontal="center"/>
    </xf>
    <xf numFmtId="49" fontId="3" fillId="0" borderId="0" xfId="2" applyNumberFormat="1"/>
    <xf numFmtId="0" fontId="16" fillId="0" borderId="0" xfId="2" applyFont="1"/>
    <xf numFmtId="1" fontId="3" fillId="0" borderId="0" xfId="2" applyNumberFormat="1"/>
    <xf numFmtId="0" fontId="3" fillId="0" borderId="0" xfId="2" applyAlignment="1">
      <alignment horizontal="right"/>
    </xf>
    <xf numFmtId="9" fontId="3" fillId="0" borderId="0" xfId="3" applyFont="1" applyAlignment="1">
      <alignment horizontal="center"/>
    </xf>
    <xf numFmtId="9" fontId="3" fillId="0" borderId="0" xfId="2" applyNumberFormat="1" applyAlignment="1">
      <alignment horizontal="center"/>
    </xf>
    <xf numFmtId="0" fontId="16" fillId="0" borderId="1" xfId="2" applyFont="1" applyBorder="1" applyAlignment="1">
      <alignment horizontal="center"/>
    </xf>
    <xf numFmtId="0" fontId="3" fillId="0" borderId="1" xfId="2" applyBorder="1" applyAlignment="1">
      <alignment horizontal="center"/>
    </xf>
    <xf numFmtId="0" fontId="3" fillId="0" borderId="0" xfId="2" applyAlignment="1">
      <alignment horizontal="center"/>
    </xf>
    <xf numFmtId="166" fontId="3" fillId="0" borderId="0" xfId="4" applyNumberFormat="1" applyFont="1" applyAlignment="1">
      <alignment horizontal="center"/>
    </xf>
    <xf numFmtId="0" fontId="3" fillId="0" borderId="0" xfId="2" applyFont="1"/>
    <xf numFmtId="0" fontId="2" fillId="0" borderId="0" xfId="2" applyFont="1"/>
    <xf numFmtId="49" fontId="2" fillId="0" borderId="0" xfId="2" applyNumberFormat="1" applyFont="1"/>
    <xf numFmtId="1" fontId="2" fillId="0" borderId="0" xfId="2" applyNumberFormat="1" applyFont="1"/>
    <xf numFmtId="0" fontId="17" fillId="0" borderId="0" xfId="0" applyFont="1" applyAlignment="1">
      <alignment vertical="center" wrapText="1"/>
    </xf>
    <xf numFmtId="0" fontId="17" fillId="0" borderId="0" xfId="0" applyFont="1"/>
    <xf numFmtId="0" fontId="3" fillId="0" borderId="0" xfId="2" applyFill="1"/>
    <xf numFmtId="0" fontId="5" fillId="0" borderId="0" xfId="0" applyFont="1" applyAlignment="1">
      <alignment horizontal="center"/>
    </xf>
    <xf numFmtId="3" fontId="5" fillId="0" borderId="1" xfId="0" applyNumberFormat="1" applyFont="1" applyBorder="1" applyAlignment="1">
      <alignment horizontal="center"/>
    </xf>
    <xf numFmtId="164" fontId="5" fillId="0" borderId="1" xfId="0" applyNumberFormat="1" applyFont="1" applyBorder="1" applyAlignment="1">
      <alignment horizontal="center"/>
    </xf>
    <xf numFmtId="3" fontId="5" fillId="0" borderId="0" xfId="0" applyNumberFormat="1" applyFont="1" applyAlignment="1">
      <alignment horizontal="center"/>
    </xf>
    <xf numFmtId="167" fontId="5" fillId="0" borderId="0" xfId="0" applyNumberFormat="1" applyFont="1" applyAlignment="1">
      <alignment horizontal="center"/>
    </xf>
    <xf numFmtId="168" fontId="13" fillId="0" borderId="0" xfId="2" applyNumberFormat="1" applyFont="1"/>
    <xf numFmtId="1" fontId="1" fillId="0" borderId="0" xfId="2" applyNumberFormat="1" applyFont="1" applyFill="1"/>
    <xf numFmtId="1" fontId="13" fillId="0" borderId="0" xfId="2" applyNumberFormat="1" applyFont="1" applyFill="1"/>
    <xf numFmtId="164" fontId="5" fillId="0" borderId="0" xfId="0" applyNumberFormat="1" applyFont="1" applyAlignment="1">
      <alignment horizontal="right"/>
    </xf>
    <xf numFmtId="169" fontId="5" fillId="0" borderId="0" xfId="0" applyNumberFormat="1" applyFont="1"/>
    <xf numFmtId="3" fontId="5" fillId="0" borderId="0" xfId="0" applyNumberFormat="1" applyFont="1" applyAlignment="1">
      <alignment horizontal="center"/>
    </xf>
    <xf numFmtId="0" fontId="7"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xf>
    <xf numFmtId="16" fontId="4" fillId="0" borderId="0" xfId="0" applyNumberFormat="1" applyFont="1" applyAlignment="1">
      <alignment horizontal="center"/>
    </xf>
    <xf numFmtId="0" fontId="11" fillId="2" borderId="0" xfId="1" applyFont="1" applyAlignment="1">
      <alignment horizontal="center" vertical="center" textRotation="90"/>
    </xf>
    <xf numFmtId="0" fontId="10" fillId="2" borderId="0" xfId="1" applyFont="1" applyAlignment="1">
      <alignment horizontal="center" vertical="center" textRotation="90" wrapText="1"/>
    </xf>
    <xf numFmtId="0" fontId="11" fillId="2" borderId="0" xfId="1" applyFont="1" applyAlignment="1">
      <alignment horizontal="center" vertical="center" textRotation="90" wrapText="1"/>
    </xf>
  </cellXfs>
  <cellStyles count="31">
    <cellStyle name="Comma 2" xfId="4"/>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Good" xfId="1" builtinId="26"/>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 name="Normal 2" xfId="2"/>
    <cellStyle name="Percent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91439</xdr:rowOff>
    </xdr:from>
    <xdr:to>
      <xdr:col>15</xdr:col>
      <xdr:colOff>720436</xdr:colOff>
      <xdr:row>44</xdr:row>
      <xdr:rowOff>22860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0" y="5958839"/>
          <a:ext cx="11350336" cy="510541"/>
        </a:xfrm>
        <a:prstGeom prst="rect">
          <a:avLst/>
        </a:prstGeom>
        <a:noFill/>
        <a:ln w="9525">
          <a:noFill/>
          <a:miter lim="800000"/>
          <a:headEnd/>
          <a:tailEnd/>
        </a:ln>
      </xdr:spPr>
      <xdr:txBody>
        <a:bodyPr vertOverflow="clip" wrap="square" lIns="27432" tIns="22860" rIns="0" bIns="0" anchor="t" upright="1"/>
        <a:lstStyle/>
        <a:p>
          <a:r>
            <a:rPr lang="en-US" sz="750" b="0" i="0">
              <a:effectLst/>
              <a:latin typeface="Arial" panose="020B0604020202020204" pitchFamily="34" charset="0"/>
              <a:ea typeface="+mn-ea"/>
              <a:cs typeface="Arial" panose="020B0604020202020204" pitchFamily="34" charset="0"/>
            </a:rPr>
            <a:t>Note: The count of applications considers all applications for the specified term, therefore students with multiple applications are counted once per each application. Tuition and fees are actual amounts computed via TBRACCD. All data are current as of 5:00 pm of the report date; are preliminary and unofficial; and are for internal use only.  The 90% prediction interval standard error is generated via a simple linear regression model of</a:t>
          </a:r>
          <a:r>
            <a:rPr lang="en-US" sz="750" b="0" i="0" baseline="0">
              <a:effectLst/>
              <a:latin typeface="Arial" panose="020B0604020202020204" pitchFamily="34" charset="0"/>
              <a:ea typeface="+mn-ea"/>
              <a:cs typeface="Arial" panose="020B0604020202020204" pitchFamily="34" charset="0"/>
            </a:rPr>
            <a:t> prior year to-date data onto closing headcounts. P-values are related to an expression of confidence that the relationship observed in the data is not due to chance. Results with a p-value greater than 0.10 should NOT be considered significant. </a:t>
          </a:r>
          <a:r>
            <a:rPr lang="en-US" sz="750" i="1">
              <a:effectLst/>
              <a:latin typeface="Arial" panose="020B0604020202020204" pitchFamily="34" charset="0"/>
              <a:ea typeface="+mn-ea"/>
              <a:cs typeface="Arial" panose="020B0604020202020204" pitchFamily="34" charset="0"/>
            </a:rPr>
            <a:t>Summer 2021 reporting data started as of February, 22, 2021.  To-date comparison with summer 2020 will be available in early May.</a:t>
          </a:r>
          <a:endParaRPr lang="en-US" sz="750" b="0" i="0" baseline="0">
            <a:effectLst/>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sz="750" i="0">
            <a:effectLst/>
            <a:latin typeface="Arial" panose="020B0604020202020204" pitchFamily="34" charset="0"/>
            <a:ea typeface="+mn-ea"/>
            <a:cs typeface="Arial" panose="020B0604020202020204" pitchFamily="34" charset="0"/>
          </a:endParaRPr>
        </a:p>
        <a:p>
          <a:pPr rtl="0"/>
          <a:endParaRPr lang="en-US" sz="800">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631825</xdr:colOff>
      <xdr:row>45</xdr:row>
      <xdr:rowOff>13758</xdr:rowOff>
    </xdr:from>
    <xdr:ext cx="5500689" cy="1247774"/>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879600" y="8205258"/>
              <a:ext cx="5500689" cy="1247774"/>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sSub>
                      <m:sSubPr>
                        <m:ctrlPr>
                          <a:rPr lang="en-US" sz="2000" b="0" i="1">
                            <a:latin typeface="Cambria Math" panose="02040503050406030204" pitchFamily="18" charset="0"/>
                          </a:rPr>
                        </m:ctrlPr>
                      </m:sSubPr>
                      <m:e>
                        <m:r>
                          <a:rPr lang="en-US" sz="2000" b="0" i="1">
                            <a:latin typeface="Cambria Math"/>
                          </a:rPr>
                          <m:t>𝑆𝐸</m:t>
                        </m:r>
                      </m:e>
                      <m:sub>
                        <m:r>
                          <a:rPr lang="en-US" sz="2000" b="0" i="1">
                            <a:latin typeface="Cambria Math"/>
                          </a:rPr>
                          <m:t>𝑝𝑟𝑒𝑑</m:t>
                        </m:r>
                      </m:sub>
                    </m:sSub>
                    <m:r>
                      <a:rPr lang="en-US" sz="2000" b="0" i="1">
                        <a:latin typeface="Cambria Math"/>
                      </a:rPr>
                      <m:t>= </m:t>
                    </m:r>
                    <m:sSub>
                      <m:sSubPr>
                        <m:ctrlPr>
                          <a:rPr lang="en-US" sz="2000" b="0" i="1">
                            <a:latin typeface="Cambria Math" panose="02040503050406030204" pitchFamily="18" charset="0"/>
                          </a:rPr>
                        </m:ctrlPr>
                      </m:sSubPr>
                      <m:e>
                        <m:r>
                          <a:rPr lang="en-US" sz="2000" b="0" i="1">
                            <a:latin typeface="Cambria Math"/>
                          </a:rPr>
                          <m:t>𝑠</m:t>
                        </m:r>
                      </m:e>
                      <m:sub>
                        <m:r>
                          <a:rPr lang="en-US" sz="2000" b="0" i="1">
                            <a:latin typeface="Cambria Math"/>
                          </a:rPr>
                          <m:t>𝑚𝑜𝑑𝑒𝑙</m:t>
                        </m:r>
                      </m:sub>
                    </m:sSub>
                    <m:rad>
                      <m:radPr>
                        <m:degHide m:val="on"/>
                        <m:ctrlPr>
                          <a:rPr lang="en-US" sz="2000" b="0" i="1">
                            <a:latin typeface="Cambria Math" panose="02040503050406030204" pitchFamily="18" charset="0"/>
                          </a:rPr>
                        </m:ctrlPr>
                      </m:radPr>
                      <m:deg/>
                      <m:e>
                        <m:r>
                          <a:rPr lang="en-US" sz="2000" b="0" i="1">
                            <a:latin typeface="Cambria Math"/>
                          </a:rPr>
                          <m:t>1+</m:t>
                        </m:r>
                        <m:f>
                          <m:fPr>
                            <m:ctrlPr>
                              <a:rPr lang="en-US" sz="2000" b="0" i="1">
                                <a:latin typeface="Cambria Math" panose="02040503050406030204" pitchFamily="18" charset="0"/>
                              </a:rPr>
                            </m:ctrlPr>
                          </m:fPr>
                          <m:num>
                            <m:r>
                              <a:rPr lang="en-US" sz="2000" b="0" i="1">
                                <a:latin typeface="Cambria Math"/>
                              </a:rPr>
                              <m:t>1</m:t>
                            </m:r>
                          </m:num>
                          <m:den>
                            <m:r>
                              <a:rPr lang="en-US" sz="2000" b="0" i="1">
                                <a:latin typeface="Cambria Math"/>
                              </a:rPr>
                              <m:t>𝑛</m:t>
                            </m:r>
                          </m:den>
                        </m:f>
                        <m:r>
                          <a:rPr lang="en-US" sz="2000" b="0" i="1">
                            <a:latin typeface="Cambria Math"/>
                          </a:rPr>
                          <m:t>+</m:t>
                        </m:r>
                        <m:f>
                          <m:fPr>
                            <m:ctrlPr>
                              <a:rPr lang="en-US" sz="2000" b="0" i="1">
                                <a:latin typeface="Cambria Math" panose="02040503050406030204" pitchFamily="18" charset="0"/>
                              </a:rPr>
                            </m:ctrlPr>
                          </m:fPr>
                          <m:num>
                            <m:sSup>
                              <m:sSupPr>
                                <m:ctrlPr>
                                  <a:rPr lang="en-US" sz="2000" b="0" i="1">
                                    <a:latin typeface="Cambria Math" panose="02040503050406030204" pitchFamily="18" charset="0"/>
                                  </a:rPr>
                                </m:ctrlPr>
                              </m:sSupPr>
                              <m:e>
                                <m:r>
                                  <a:rPr lang="en-US" sz="2000" b="0" i="1">
                                    <a:latin typeface="Cambria Math"/>
                                  </a:rPr>
                                  <m:t>(</m:t>
                                </m:r>
                                <m:r>
                                  <a:rPr lang="en-US" sz="2000" b="0" i="1">
                                    <a:latin typeface="Cambria Math"/>
                                  </a:rPr>
                                  <m:t>𝑥</m:t>
                                </m:r>
                                <m:r>
                                  <a:rPr lang="en-US" sz="2000" b="0" i="1">
                                    <a:latin typeface="Cambria Math"/>
                                  </a:rPr>
                                  <m:t>−</m:t>
                                </m:r>
                                <m:bar>
                                  <m:barPr>
                                    <m:pos m:val="top"/>
                                    <m:ctrlPr>
                                      <a:rPr lang="en-US" sz="2000" b="0" i="1">
                                        <a:latin typeface="Cambria Math" panose="02040503050406030204" pitchFamily="18" charset="0"/>
                                      </a:rPr>
                                    </m:ctrlPr>
                                  </m:barPr>
                                  <m:e>
                                    <m:r>
                                      <a:rPr lang="en-US" sz="2000" b="0" i="1">
                                        <a:latin typeface="Cambria Math"/>
                                      </a:rPr>
                                      <m:t>𝑥</m:t>
                                    </m:r>
                                  </m:e>
                                </m:bar>
                                <m:r>
                                  <a:rPr lang="en-US" sz="2000" b="0" i="1">
                                    <a:latin typeface="Cambria Math"/>
                                  </a:rPr>
                                  <m:t>)</m:t>
                                </m:r>
                              </m:e>
                              <m:sup>
                                <m:r>
                                  <a:rPr lang="en-US" sz="2000" b="0" i="1">
                                    <a:latin typeface="Cambria Math"/>
                                  </a:rPr>
                                  <m:t>2</m:t>
                                </m:r>
                              </m:sup>
                            </m:sSup>
                          </m:num>
                          <m:den>
                            <m:sSubSup>
                              <m:sSubSupPr>
                                <m:ctrlPr>
                                  <a:rPr lang="en-US" sz="2000" b="0" i="1">
                                    <a:latin typeface="Cambria Math" panose="02040503050406030204" pitchFamily="18" charset="0"/>
                                  </a:rPr>
                                </m:ctrlPr>
                              </m:sSubSupPr>
                              <m:e>
                                <m:r>
                                  <a:rPr lang="en-US" sz="2000" b="0" i="1">
                                    <a:latin typeface="Cambria Math"/>
                                  </a:rPr>
                                  <m:t>𝑠</m:t>
                                </m:r>
                              </m:e>
                              <m:sub>
                                <m:r>
                                  <a:rPr lang="en-US" sz="2000" b="0" i="1">
                                    <a:latin typeface="Cambria Math"/>
                                  </a:rPr>
                                  <m:t>𝑥</m:t>
                                </m:r>
                              </m:sub>
                              <m:sup>
                                <m:r>
                                  <a:rPr lang="en-US" sz="2000" b="0" i="1">
                                    <a:latin typeface="Cambria Math"/>
                                  </a:rPr>
                                  <m:t>2</m:t>
                                </m:r>
                              </m:sup>
                            </m:sSubSup>
                            <m:r>
                              <a:rPr lang="en-US" sz="2000" b="0" i="1">
                                <a:latin typeface="Cambria Math"/>
                              </a:rPr>
                              <m:t>(</m:t>
                            </m:r>
                            <m:r>
                              <a:rPr lang="en-US" sz="2000" b="0" i="1">
                                <a:latin typeface="Cambria Math"/>
                              </a:rPr>
                              <m:t>𝑛</m:t>
                            </m:r>
                            <m:r>
                              <a:rPr lang="en-US" sz="2000" b="0" i="1">
                                <a:latin typeface="Cambria Math"/>
                              </a:rPr>
                              <m:t>−1)</m:t>
                            </m:r>
                          </m:den>
                        </m:f>
                      </m:e>
                    </m:rad>
                  </m:oMath>
                </m:oMathPara>
              </a14:m>
              <a:endParaRPr lang="en-US" sz="2000"/>
            </a:p>
          </xdr:txBody>
        </xdr:sp>
      </mc:Choice>
      <mc:Fallback xmlns="">
        <xdr:sp macro="" textlink="">
          <xdr:nvSpPr>
            <xdr:cNvPr id="2" name="TextBox 1"/>
            <xdr:cNvSpPr txBox="1"/>
          </xdr:nvSpPr>
          <xdr:spPr>
            <a:xfrm>
              <a:off x="1879600" y="8205258"/>
              <a:ext cx="5500689" cy="1247774"/>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2000" b="0" i="0">
                  <a:latin typeface="Cambria Math" panose="02040503050406030204" pitchFamily="18" charset="0"/>
                </a:rPr>
                <a:t>〖</a:t>
              </a:r>
              <a:r>
                <a:rPr lang="en-US" sz="2000" b="0" i="0">
                  <a:latin typeface="Cambria Math"/>
                </a:rPr>
                <a:t>𝑆𝐸</a:t>
              </a:r>
              <a:r>
                <a:rPr lang="en-US" sz="2000" b="0" i="0">
                  <a:latin typeface="Cambria Math" panose="02040503050406030204" pitchFamily="18" charset="0"/>
                </a:rPr>
                <a:t>〗_</a:t>
              </a:r>
              <a:r>
                <a:rPr lang="en-US" sz="2000" b="0" i="0">
                  <a:latin typeface="Cambria Math"/>
                </a:rPr>
                <a:t>𝑝𝑟𝑒𝑑= 𝑠</a:t>
              </a:r>
              <a:r>
                <a:rPr lang="en-US" sz="2000" b="0" i="0">
                  <a:latin typeface="Cambria Math" panose="02040503050406030204" pitchFamily="18" charset="0"/>
                </a:rPr>
                <a:t>_</a:t>
              </a:r>
              <a:r>
                <a:rPr lang="en-US" sz="2000" b="0" i="0">
                  <a:latin typeface="Cambria Math"/>
                </a:rPr>
                <a:t>𝑚𝑜𝑑𝑒𝑙</a:t>
              </a:r>
              <a:r>
                <a:rPr lang="en-US" sz="2000" b="0" i="0">
                  <a:latin typeface="Cambria Math" panose="02040503050406030204" pitchFamily="18" charset="0"/>
                </a:rPr>
                <a:t> √(</a:t>
              </a:r>
              <a:r>
                <a:rPr lang="en-US" sz="2000" b="0" i="0">
                  <a:latin typeface="Cambria Math"/>
                </a:rPr>
                <a:t>1+1</a:t>
              </a:r>
              <a:r>
                <a:rPr lang="en-US" sz="2000" b="0" i="0">
                  <a:latin typeface="Cambria Math" panose="02040503050406030204" pitchFamily="18" charset="0"/>
                </a:rPr>
                <a:t>/</a:t>
              </a:r>
              <a:r>
                <a:rPr lang="en-US" sz="2000" b="0" i="0">
                  <a:latin typeface="Cambria Math"/>
                </a:rPr>
                <a:t>𝑛+</a:t>
              </a:r>
              <a:r>
                <a:rPr lang="en-US" sz="2000" b="0" i="0">
                  <a:latin typeface="Cambria Math" panose="02040503050406030204" pitchFamily="18" charset="0"/>
                </a:rPr>
                <a:t>〖</a:t>
              </a:r>
              <a:r>
                <a:rPr lang="en-US" sz="2000" b="0" i="0">
                  <a:latin typeface="Cambria Math"/>
                </a:rPr>
                <a:t>(𝑥−</a:t>
              </a:r>
              <a:r>
                <a:rPr lang="en-US" sz="2000" b="0" i="0">
                  <a:latin typeface="Cambria Math" panose="02040503050406030204" pitchFamily="18" charset="0"/>
                </a:rPr>
                <a:t>¯</a:t>
              </a:r>
              <a:r>
                <a:rPr lang="en-US" sz="2000" b="0" i="0">
                  <a:latin typeface="Cambria Math"/>
                </a:rPr>
                <a:t>𝑥)</a:t>
              </a:r>
              <a:r>
                <a:rPr lang="en-US" sz="2000" b="0" i="0">
                  <a:latin typeface="Cambria Math" panose="02040503050406030204" pitchFamily="18" charset="0"/>
                </a:rPr>
                <a:t>〗^</a:t>
              </a:r>
              <a:r>
                <a:rPr lang="en-US" sz="2000" b="0" i="0">
                  <a:latin typeface="Cambria Math"/>
                </a:rPr>
                <a:t>2</a:t>
              </a:r>
              <a:r>
                <a:rPr lang="en-US" sz="2000" b="0" i="0">
                  <a:latin typeface="Cambria Math" panose="02040503050406030204" pitchFamily="18" charset="0"/>
                </a:rPr>
                <a:t>/(</a:t>
              </a:r>
              <a:r>
                <a:rPr lang="en-US" sz="2000" b="0" i="0">
                  <a:latin typeface="Cambria Math"/>
                </a:rPr>
                <a:t>𝑠</a:t>
              </a:r>
              <a:r>
                <a:rPr lang="en-US" sz="2000" b="0" i="0">
                  <a:latin typeface="Cambria Math" panose="02040503050406030204" pitchFamily="18" charset="0"/>
                </a:rPr>
                <a:t>_</a:t>
              </a:r>
              <a:r>
                <a:rPr lang="en-US" sz="2000" b="0" i="0">
                  <a:latin typeface="Cambria Math"/>
                </a:rPr>
                <a:t>𝑥</a:t>
              </a:r>
              <a:r>
                <a:rPr lang="en-US" sz="2000" b="0" i="0">
                  <a:latin typeface="Cambria Math" panose="02040503050406030204" pitchFamily="18" charset="0"/>
                </a:rPr>
                <a:t>^</a:t>
              </a:r>
              <a:r>
                <a:rPr lang="en-US" sz="2000" b="0" i="0">
                  <a:latin typeface="Cambria Math"/>
                </a:rPr>
                <a:t>2 (𝑛−1)</a:t>
              </a:r>
              <a:r>
                <a:rPr lang="en-US" sz="2000" b="0" i="0">
                  <a:latin typeface="Cambria Math" panose="02040503050406030204" pitchFamily="18" charset="0"/>
                </a:rPr>
                <a:t>))</a:t>
              </a:r>
              <a:endParaRPr lang="en-US" sz="20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tabSelected="1" view="pageBreakPreview" zoomScaleNormal="100" zoomScaleSheetLayoutView="100" workbookViewId="0">
      <selection activeCell="B63" sqref="B63"/>
    </sheetView>
  </sheetViews>
  <sheetFormatPr defaultColWidth="9.109375" defaultRowHeight="11.4" x14ac:dyDescent="0.2"/>
  <cols>
    <col min="1" max="1" width="31.109375" style="2" customWidth="1"/>
    <col min="2" max="4" width="10.77734375" style="2" customWidth="1"/>
    <col min="5" max="5" width="1.77734375" style="2" customWidth="1"/>
    <col min="6" max="8" width="10.77734375" style="2" customWidth="1"/>
    <col min="9" max="9" width="1.77734375" style="2" customWidth="1"/>
    <col min="10" max="12" width="10.77734375" style="2" customWidth="1"/>
    <col min="13" max="13" width="1.77734375" style="2" customWidth="1"/>
    <col min="14" max="16" width="10.77734375" style="2" customWidth="1"/>
    <col min="17" max="16384" width="9.109375" style="2"/>
  </cols>
  <sheetData>
    <row r="1" spans="1:16" ht="13.8" x14ac:dyDescent="0.25">
      <c r="A1" s="51" t="s">
        <v>151</v>
      </c>
      <c r="B1" s="51"/>
      <c r="C1" s="51"/>
      <c r="D1" s="51"/>
      <c r="E1" s="51"/>
      <c r="F1" s="51"/>
      <c r="G1" s="51"/>
      <c r="H1" s="51"/>
      <c r="I1" s="51"/>
      <c r="J1" s="51"/>
      <c r="K1" s="51"/>
      <c r="L1" s="51"/>
      <c r="M1" s="51"/>
      <c r="N1" s="51"/>
      <c r="O1" s="51"/>
      <c r="P1" s="51"/>
    </row>
    <row r="2" spans="1:16" s="1" customFormat="1" ht="13.8" x14ac:dyDescent="0.25">
      <c r="A2" s="51" t="s">
        <v>150</v>
      </c>
      <c r="B2" s="51"/>
      <c r="C2" s="51"/>
      <c r="D2" s="51"/>
      <c r="E2" s="51"/>
      <c r="F2" s="51"/>
      <c r="G2" s="51"/>
      <c r="H2" s="51"/>
      <c r="I2" s="51"/>
      <c r="J2" s="51"/>
      <c r="K2" s="51"/>
      <c r="L2" s="51"/>
      <c r="M2" s="51"/>
      <c r="N2" s="51"/>
      <c r="O2" s="51"/>
      <c r="P2" s="51"/>
    </row>
    <row r="3" spans="1:16" s="1" customFormat="1" ht="12" x14ac:dyDescent="0.25">
      <c r="A3" s="53" t="str">
        <f>CONCATENATE("Report Dates: ",A55)</f>
        <v>Report Dates: 31May2021 and 1Jun2020</v>
      </c>
      <c r="B3" s="53"/>
      <c r="C3" s="53"/>
      <c r="D3" s="53"/>
      <c r="E3" s="53"/>
      <c r="F3" s="53"/>
      <c r="G3" s="53"/>
      <c r="H3" s="53"/>
      <c r="I3" s="53"/>
      <c r="J3" s="53"/>
      <c r="K3" s="53"/>
      <c r="L3" s="53"/>
      <c r="M3" s="53"/>
      <c r="N3" s="53"/>
      <c r="O3" s="53"/>
      <c r="P3" s="53"/>
    </row>
    <row r="4" spans="1:16" s="1" customFormat="1" ht="12" x14ac:dyDescent="0.25">
      <c r="A4" s="54"/>
      <c r="B4" s="53"/>
      <c r="C4" s="53"/>
      <c r="D4" s="53"/>
      <c r="E4" s="53"/>
      <c r="F4" s="53"/>
      <c r="G4" s="53"/>
      <c r="H4" s="53"/>
      <c r="I4" s="53"/>
      <c r="J4" s="53"/>
      <c r="K4" s="53"/>
      <c r="L4" s="53"/>
    </row>
    <row r="5" spans="1:16" x14ac:dyDescent="0.2">
      <c r="B5" s="3"/>
      <c r="D5" s="3"/>
      <c r="E5" s="3"/>
      <c r="G5" s="3"/>
      <c r="J5" s="3"/>
      <c r="N5" s="3"/>
    </row>
    <row r="6" spans="1:16" x14ac:dyDescent="0.2">
      <c r="B6" s="52" t="s">
        <v>0</v>
      </c>
      <c r="C6" s="52"/>
      <c r="D6" s="52"/>
      <c r="F6" s="52" t="s">
        <v>1</v>
      </c>
      <c r="G6" s="52"/>
      <c r="H6" s="52"/>
      <c r="J6" s="52" t="s">
        <v>2</v>
      </c>
      <c r="K6" s="52"/>
      <c r="L6" s="52"/>
      <c r="N6" s="52" t="s">
        <v>50</v>
      </c>
      <c r="O6" s="52"/>
      <c r="P6" s="52"/>
    </row>
    <row r="7" spans="1:16" s="5" customFormat="1" x14ac:dyDescent="0.2">
      <c r="D7" s="5" t="s">
        <v>3</v>
      </c>
      <c r="H7" s="5" t="s">
        <v>3</v>
      </c>
      <c r="L7" s="5" t="s">
        <v>3</v>
      </c>
      <c r="P7" s="5" t="s">
        <v>3</v>
      </c>
    </row>
    <row r="8" spans="1:16" s="5" customFormat="1" x14ac:dyDescent="0.2">
      <c r="B8" s="6">
        <v>2021</v>
      </c>
      <c r="C8" s="6">
        <v>2020</v>
      </c>
      <c r="D8" s="6" t="s">
        <v>4</v>
      </c>
      <c r="F8" s="6">
        <v>2021</v>
      </c>
      <c r="G8" s="6">
        <v>2020</v>
      </c>
      <c r="H8" s="6" t="s">
        <v>4</v>
      </c>
      <c r="J8" s="6">
        <v>2021</v>
      </c>
      <c r="K8" s="6">
        <v>2020</v>
      </c>
      <c r="L8" s="6" t="s">
        <v>4</v>
      </c>
      <c r="N8" s="6">
        <v>2021</v>
      </c>
      <c r="O8" s="6">
        <v>2020</v>
      </c>
      <c r="P8" s="6" t="s">
        <v>4</v>
      </c>
    </row>
    <row r="10" spans="1:16" x14ac:dyDescent="0.2">
      <c r="A10" s="2" t="s">
        <v>5</v>
      </c>
      <c r="B10" s="4">
        <f>SUM(data!F4:G5)</f>
        <v>1653</v>
      </c>
      <c r="C10" s="4">
        <f>SUM(data!K4:L5)</f>
        <v>1175</v>
      </c>
      <c r="D10" s="7">
        <f>IF(OR(B10=0,C10=0), "", (B10-C10)/C10)</f>
        <v>0.40680851063829787</v>
      </c>
      <c r="F10" s="4">
        <f>SUM(data!F8:G9)</f>
        <v>752</v>
      </c>
      <c r="G10" s="4">
        <f>SUM(data!K8:L9)</f>
        <v>777</v>
      </c>
      <c r="H10" s="7">
        <f>IF(OR(F10=0,G10=0), "", (F10-G10)/G10)</f>
        <v>-3.2175032175032175E-2</v>
      </c>
      <c r="J10" s="4">
        <f>SUM(data!F12:G13)</f>
        <v>287</v>
      </c>
      <c r="K10" s="4">
        <f>SUM(data!K12:L13)</f>
        <v>283</v>
      </c>
      <c r="L10" s="7">
        <f>IF(OR(J10=0,K10=0), "", (J10-K10)/K10)</f>
        <v>1.4134275618374558E-2</v>
      </c>
      <c r="N10" s="4">
        <f>SUM(data!F16:G17)</f>
        <v>2692</v>
      </c>
      <c r="O10" s="4">
        <f>SUM(data!K16:L17)</f>
        <v>2235</v>
      </c>
      <c r="P10" s="7">
        <f>IF(OR(N10=0,O10=0), "", (N10-O10)/O10)</f>
        <v>0.20447427293064876</v>
      </c>
    </row>
    <row r="11" spans="1:16" x14ac:dyDescent="0.2">
      <c r="A11" s="2" t="s">
        <v>6</v>
      </c>
      <c r="B11" s="4">
        <f>SUM(data!H4:I5)</f>
        <v>1040</v>
      </c>
      <c r="C11" s="4">
        <f>SUM(data!M4:N5)</f>
        <v>776</v>
      </c>
      <c r="D11" s="7">
        <f>IF(OR(B11=0,C11=0), "", (B11-C11)/C11)</f>
        <v>0.34020618556701032</v>
      </c>
      <c r="F11" s="4">
        <f>SUM(data!H8:I9)</f>
        <v>561</v>
      </c>
      <c r="G11" s="4">
        <f>SUM(data!M8:N9)</f>
        <v>574</v>
      </c>
      <c r="H11" s="7">
        <f>IF(OR(F11=0,G11=0), "", (F11-G11)/G11)</f>
        <v>-2.2648083623693381E-2</v>
      </c>
      <c r="J11" s="4">
        <f>SUM(data!H12:I13)</f>
        <v>168</v>
      </c>
      <c r="K11" s="4">
        <f>SUM(data!M12:N13)</f>
        <v>170</v>
      </c>
      <c r="L11" s="7">
        <f>IF(OR(J11=0,K11=0), "", (J11-K11)/K11)</f>
        <v>-1.1764705882352941E-2</v>
      </c>
      <c r="N11" s="4">
        <f>SUM(data!H16:I17)</f>
        <v>1769</v>
      </c>
      <c r="O11" s="4">
        <f>SUM(data!M16:N17)</f>
        <v>1520</v>
      </c>
      <c r="P11" s="7">
        <f>IF(OR(N11=0,O11=0), "", (N11-O11)/O11)</f>
        <v>0.16381578947368422</v>
      </c>
    </row>
    <row r="12" spans="1:16" x14ac:dyDescent="0.2">
      <c r="A12" s="2" t="s">
        <v>7</v>
      </c>
      <c r="B12" s="4">
        <f>SUM(data!F2:G2)</f>
        <v>25</v>
      </c>
      <c r="C12" s="4">
        <f>SUM(data!K2:L2)</f>
        <v>15</v>
      </c>
      <c r="D12" s="7">
        <f>IF(OR(B12=0,C12=0), "", (B12-C12)/C12)</f>
        <v>0.66666666666666663</v>
      </c>
      <c r="F12" s="4">
        <f>SUM(data!F6:G6)</f>
        <v>13</v>
      </c>
      <c r="G12" s="4">
        <f>SUM(data!K6:L6)</f>
        <v>16</v>
      </c>
      <c r="H12" s="7">
        <f t="shared" ref="H12:H13" si="0">IF(OR(F12=0,G12=0), "", (F12-G12)/G12)</f>
        <v>-0.1875</v>
      </c>
      <c r="J12" s="4">
        <f>SUM(data!F10:G10)</f>
        <v>3</v>
      </c>
      <c r="K12" s="4">
        <f>SUM(data!K10:L10)</f>
        <v>2</v>
      </c>
      <c r="L12" s="7">
        <f>IF(OR(J12=0,K12=0), "", (J12-K12)/K12)</f>
        <v>0.5</v>
      </c>
      <c r="N12" s="4">
        <f>SUM(data!F14:G14)</f>
        <v>41</v>
      </c>
      <c r="O12" s="4">
        <f>SUM(data!K14:L14)</f>
        <v>33</v>
      </c>
      <c r="P12" s="7">
        <f>IF(OR(N12=0,O12=0), "", (N12-O12)/O12)</f>
        <v>0.24242424242424243</v>
      </c>
    </row>
    <row r="13" spans="1:16" x14ac:dyDescent="0.2">
      <c r="A13" s="2" t="s">
        <v>8</v>
      </c>
      <c r="B13" s="4">
        <f>SUM(data!H2:I2)</f>
        <v>11</v>
      </c>
      <c r="C13" s="4">
        <f>SUM(data!M2:N2)</f>
        <v>8</v>
      </c>
      <c r="D13" s="7">
        <f>IF(OR(B13=0,C13=0), "", (B13-C13)/C13)</f>
        <v>0.375</v>
      </c>
      <c r="F13" s="4">
        <f>SUM(data!H6:I6)</f>
        <v>10</v>
      </c>
      <c r="G13" s="4">
        <f>SUM(data!M6:N6)</f>
        <v>13</v>
      </c>
      <c r="H13" s="7">
        <f t="shared" si="0"/>
        <v>-0.23076923076923078</v>
      </c>
      <c r="J13" s="4">
        <f>SUM(data!H10:I10)</f>
        <v>1</v>
      </c>
      <c r="K13" s="4">
        <f>SUM(data!M10:N10)</f>
        <v>1</v>
      </c>
      <c r="L13" s="48" t="s">
        <v>152</v>
      </c>
      <c r="N13" s="4">
        <f>SUM(data!H14:I14)</f>
        <v>22</v>
      </c>
      <c r="O13" s="4">
        <f>SUM(data!M14:N14)</f>
        <v>22</v>
      </c>
      <c r="P13" s="48" t="s">
        <v>152</v>
      </c>
    </row>
    <row r="14" spans="1:16" x14ac:dyDescent="0.2">
      <c r="D14" s="7"/>
      <c r="H14" s="7"/>
      <c r="L14" s="7"/>
      <c r="P14" s="7"/>
    </row>
    <row r="15" spans="1:16" x14ac:dyDescent="0.2">
      <c r="A15" s="2" t="s">
        <v>9</v>
      </c>
      <c r="B15" s="4">
        <f>data!D22</f>
        <v>4364</v>
      </c>
      <c r="C15" s="4">
        <f>data!G22</f>
        <v>5356</v>
      </c>
      <c r="D15" s="7">
        <f>IF(OR(B15=0,C15=0), "", (B15-C15)/C15)</f>
        <v>-0.18521284540702015</v>
      </c>
      <c r="F15" s="4">
        <f>data!D23</f>
        <v>2371</v>
      </c>
      <c r="G15" s="4">
        <f>data!G23</f>
        <v>2440</v>
      </c>
      <c r="H15" s="7">
        <f>IF(OR(F15=0,G15=0), "", (F15-G15)/G15)</f>
        <v>-2.8278688524590163E-2</v>
      </c>
      <c r="J15" s="4">
        <f>data!D24</f>
        <v>774</v>
      </c>
      <c r="K15" s="4">
        <f>data!G24</f>
        <v>796</v>
      </c>
      <c r="L15" s="7">
        <f>IF(OR(J15=0,K15=0), "", (J15-K15)/K15)</f>
        <v>-2.7638190954773871E-2</v>
      </c>
      <c r="N15" s="4">
        <f>data!D25</f>
        <v>7275</v>
      </c>
      <c r="O15" s="4">
        <f>data!G25</f>
        <v>8316</v>
      </c>
      <c r="P15" s="7">
        <f>IF(OR(N15=0,O15=0), "", (N15-O15)/O15)</f>
        <v>-0.12518037518037517</v>
      </c>
    </row>
    <row r="16" spans="1:16" x14ac:dyDescent="0.2">
      <c r="A16" s="2" t="s">
        <v>10</v>
      </c>
      <c r="B16" s="4">
        <f>data!E22</f>
        <v>21024.5</v>
      </c>
      <c r="C16" s="4">
        <f>data!H22</f>
        <v>27223.5</v>
      </c>
      <c r="D16" s="7">
        <f>IF(OR(B16=0,C16=0), "", (B16-C16)/C16)</f>
        <v>-0.22770767902731096</v>
      </c>
      <c r="F16" s="4">
        <f>data!E23</f>
        <v>11607</v>
      </c>
      <c r="G16" s="4">
        <f>data!H23</f>
        <v>13613</v>
      </c>
      <c r="H16" s="7">
        <f>IF(OR(F16=0,G16=0), "", (F16-G16)/G16)</f>
        <v>-0.14735914199662087</v>
      </c>
      <c r="J16" s="4">
        <f>data!E24</f>
        <v>3956</v>
      </c>
      <c r="K16" s="4">
        <f>data!H24</f>
        <v>4252</v>
      </c>
      <c r="L16" s="7">
        <f>IF(OR(J16=0,K16=0), "", (J16-K16)/K16)</f>
        <v>-6.9614299153339609E-2</v>
      </c>
      <c r="N16" s="4">
        <f>data!E25</f>
        <v>36587.5</v>
      </c>
      <c r="O16" s="4">
        <f>data!H25</f>
        <v>45088.5</v>
      </c>
      <c r="P16" s="7">
        <f>IF(OR(N16=0,O16=0), "", (N16-O16)/O16)</f>
        <v>-0.1885403151579671</v>
      </c>
    </row>
    <row r="17" spans="1:16" x14ac:dyDescent="0.2">
      <c r="A17" s="2" t="s">
        <v>153</v>
      </c>
      <c r="B17" s="7">
        <f>B15/6009</f>
        <v>0.72624396738225994</v>
      </c>
      <c r="C17" s="7">
        <f>C15/6009</f>
        <v>0.89132967215842906</v>
      </c>
      <c r="D17" s="7">
        <f>IF(OR(B17=0,C17=0), "", (B17-C17)/C17)</f>
        <v>-0.18521284540702021</v>
      </c>
      <c r="F17" s="7">
        <f>F15/2685</f>
        <v>0.8830540037243948</v>
      </c>
      <c r="G17" s="7">
        <f>G15/2685</f>
        <v>0.9087523277467412</v>
      </c>
      <c r="H17" s="7">
        <f>IF(OR(F17=0,G17=0), "", (F17-G17)/G17)</f>
        <v>-2.8278688524590194E-2</v>
      </c>
      <c r="J17" s="7">
        <f>J15/862</f>
        <v>0.89791183294663568</v>
      </c>
      <c r="K17" s="7">
        <f>K15/862</f>
        <v>0.92343387470997684</v>
      </c>
      <c r="L17" s="7">
        <f>IF(OR(J17=0,K17=0), "", (J17-K17)/K17)</f>
        <v>-2.7638190954773972E-2</v>
      </c>
      <c r="N17" s="7">
        <f>N15/9252</f>
        <v>0.78631647211413747</v>
      </c>
      <c r="O17" s="7">
        <f>O15/9252</f>
        <v>0.89883268482490275</v>
      </c>
      <c r="P17" s="7">
        <f>IF(OR(N17=0,O17=0), "", (N17-O17)/O17)</f>
        <v>-0.12518037518037523</v>
      </c>
    </row>
    <row r="18" spans="1:16" x14ac:dyDescent="0.2">
      <c r="A18" s="2" t="s">
        <v>154</v>
      </c>
      <c r="B18" s="7">
        <f>B16/28806</f>
        <v>0.72986530583906128</v>
      </c>
      <c r="C18" s="7">
        <f>C16/28806</f>
        <v>0.9450635284315767</v>
      </c>
      <c r="D18" s="7">
        <f>IF(OR(B18=0,C18=0), "", (B18-C18)/C18)</f>
        <v>-0.22770767902731096</v>
      </c>
      <c r="F18" s="7">
        <f>F16/14147</f>
        <v>0.82045663391531776</v>
      </c>
      <c r="G18" s="7">
        <f>G16/14147</f>
        <v>0.96225348130345656</v>
      </c>
      <c r="H18" s="7">
        <f>IF(OR(F18=0,G18=0), "", (F18-G18)/G18)</f>
        <v>-0.14735914199662084</v>
      </c>
      <c r="J18" s="7">
        <f>J16/4493</f>
        <v>0.88048074782995767</v>
      </c>
      <c r="K18" s="7">
        <f>K16/4493</f>
        <v>0.94636100600934792</v>
      </c>
      <c r="L18" s="7">
        <f>IF(OR(J18=0,K18=0), "", (J18-K18)/K18)</f>
        <v>-6.9614299153339693E-2</v>
      </c>
      <c r="N18" s="7">
        <f>N16/47446</f>
        <v>0.77113982211356069</v>
      </c>
      <c r="O18" s="7">
        <f>O16/47446</f>
        <v>0.95031193356658095</v>
      </c>
      <c r="P18" s="7">
        <f>IF(OR(N18=0,O18=0), "", (N18-O18)/O18)</f>
        <v>-0.1885403151579671</v>
      </c>
    </row>
    <row r="19" spans="1:16" x14ac:dyDescent="0.2">
      <c r="D19" s="7"/>
      <c r="H19" s="7"/>
      <c r="L19" s="7"/>
      <c r="P19" s="7"/>
    </row>
    <row r="20" spans="1:16" x14ac:dyDescent="0.2">
      <c r="A20" s="2" t="s">
        <v>11</v>
      </c>
      <c r="B20" s="4">
        <f>data!E30</f>
        <v>3010059</v>
      </c>
      <c r="C20" s="4">
        <f>data!G30</f>
        <v>3488166</v>
      </c>
      <c r="D20" s="7">
        <f>IF(OR(B20=0,C20=0), "", (B20-C20)/C20)</f>
        <v>-0.13706543782606675</v>
      </c>
      <c r="F20" s="4">
        <f>data!E42</f>
        <v>1730922</v>
      </c>
      <c r="G20" s="4">
        <f>data!G42</f>
        <v>1960170</v>
      </c>
      <c r="H20" s="7">
        <f>IF(OR(F20=0,G20=0), "", (F20-G20)/G20)</f>
        <v>-0.11695312141293868</v>
      </c>
      <c r="J20" s="4">
        <f>data!E54</f>
        <v>435474</v>
      </c>
      <c r="K20" s="4">
        <f>data!G54</f>
        <v>435073</v>
      </c>
      <c r="L20" s="7">
        <f>IF(OR(J20=0,K20=0), "", (J20-K20)/K20)</f>
        <v>9.2168440698457504E-4</v>
      </c>
      <c r="N20" s="4">
        <f>B20+F20+J20</f>
        <v>5176455</v>
      </c>
      <c r="O20" s="4">
        <f>C20+G20+K20</f>
        <v>5883409</v>
      </c>
      <c r="P20" s="7">
        <f t="shared" ref="P20:P31" si="1">IF(OR(N20=0,O20=0), "", (N20-O20)/O20)</f>
        <v>-0.12016060756612365</v>
      </c>
    </row>
    <row r="21" spans="1:16" x14ac:dyDescent="0.2">
      <c r="A21" s="2" t="s">
        <v>12</v>
      </c>
      <c r="B21" s="4">
        <f>data!E31</f>
        <v>1410846</v>
      </c>
      <c r="C21" s="4">
        <f>data!G31</f>
        <v>2101024.5</v>
      </c>
      <c r="D21" s="7">
        <f t="shared" ref="D21:D33" si="2">IF(OR(B21=0,C21=0), "", (B21-C21)/C21)</f>
        <v>-0.32849616936880077</v>
      </c>
      <c r="F21" s="4">
        <f>data!E43</f>
        <v>842334</v>
      </c>
      <c r="G21" s="4">
        <f>data!G43</f>
        <v>955757</v>
      </c>
      <c r="H21" s="7">
        <f t="shared" ref="H21:H31" si="3">IF(OR(F21=0,G21=0), "", (F21-G21)/G21)</f>
        <v>-0.11867347034863464</v>
      </c>
      <c r="J21" s="4">
        <f>data!E55</f>
        <v>196272</v>
      </c>
      <c r="K21" s="4">
        <f>data!G55</f>
        <v>190452</v>
      </c>
      <c r="L21" s="7">
        <f t="shared" ref="L21:L31" si="4">IF(OR(J21=0,K21=0), "", (J21-K21)/K21)</f>
        <v>3.055888097788419E-2</v>
      </c>
      <c r="N21" s="4">
        <f t="shared" ref="N21:N31" si="5">B21+F21+J21</f>
        <v>2449452</v>
      </c>
      <c r="O21" s="4">
        <f t="shared" ref="O21:O31" si="6">C21+G21+K21</f>
        <v>3247233.5</v>
      </c>
      <c r="P21" s="7">
        <f t="shared" si="1"/>
        <v>-0.24568036145229469</v>
      </c>
    </row>
    <row r="22" spans="1:16" x14ac:dyDescent="0.2">
      <c r="A22" s="2" t="s">
        <v>13</v>
      </c>
      <c r="B22" s="4">
        <f>data!E32</f>
        <v>597028</v>
      </c>
      <c r="C22" s="4">
        <f>data!G32</f>
        <v>660922</v>
      </c>
      <c r="D22" s="7">
        <f t="shared" si="2"/>
        <v>-9.6674040204441675E-2</v>
      </c>
      <c r="F22" s="4">
        <f>data!E44</f>
        <v>652023</v>
      </c>
      <c r="G22" s="4">
        <f>data!G44</f>
        <v>661770</v>
      </c>
      <c r="H22" s="7">
        <f t="shared" si="3"/>
        <v>-1.4728682170542635E-2</v>
      </c>
      <c r="J22" s="4">
        <f>data!E56</f>
        <v>662796</v>
      </c>
      <c r="K22" s="4">
        <f>data!G56</f>
        <v>812592</v>
      </c>
      <c r="L22" s="7">
        <f t="shared" si="4"/>
        <v>-0.18434343434343434</v>
      </c>
      <c r="N22" s="4">
        <f t="shared" si="5"/>
        <v>1911847</v>
      </c>
      <c r="O22" s="4">
        <f t="shared" si="6"/>
        <v>2135284</v>
      </c>
      <c r="P22" s="7">
        <f t="shared" si="1"/>
        <v>-0.10464041317220567</v>
      </c>
    </row>
    <row r="23" spans="1:16" x14ac:dyDescent="0.2">
      <c r="A23" s="2" t="s">
        <v>148</v>
      </c>
      <c r="B23" s="4">
        <f>data!E33</f>
        <v>-3009</v>
      </c>
      <c r="C23" s="4">
        <f>data!G33</f>
        <v>-14560</v>
      </c>
      <c r="D23" s="7">
        <f t="shared" si="2"/>
        <v>-0.79333791208791204</v>
      </c>
      <c r="F23" s="4">
        <f>data!E45</f>
        <v>0</v>
      </c>
      <c r="G23" s="4">
        <f>data!G45</f>
        <v>-61656</v>
      </c>
      <c r="H23" s="48" t="s">
        <v>152</v>
      </c>
      <c r="J23" s="4">
        <f>data!E57</f>
        <v>0</v>
      </c>
      <c r="K23" s="4">
        <f>data!G57</f>
        <v>-14112</v>
      </c>
      <c r="L23" s="48" t="s">
        <v>152</v>
      </c>
      <c r="N23" s="4">
        <f t="shared" ref="N23:O23" si="7">B23+F23+J23</f>
        <v>-3009</v>
      </c>
      <c r="O23" s="4">
        <f t="shared" si="7"/>
        <v>-90328</v>
      </c>
      <c r="P23" s="7">
        <f t="shared" si="1"/>
        <v>-0.96668807014436275</v>
      </c>
    </row>
    <row r="24" spans="1:16" x14ac:dyDescent="0.2">
      <c r="A24" s="2" t="s">
        <v>121</v>
      </c>
      <c r="B24" s="4">
        <f>data!E34</f>
        <v>-96220</v>
      </c>
      <c r="C24" s="4">
        <f>data!G34</f>
        <v>-127067</v>
      </c>
      <c r="D24" s="7">
        <f t="shared" si="2"/>
        <v>-0.24276169265033407</v>
      </c>
      <c r="F24" s="4">
        <f>data!E46</f>
        <v>0</v>
      </c>
      <c r="G24" s="4">
        <f>data!G46</f>
        <v>0</v>
      </c>
      <c r="H24" s="48" t="s">
        <v>152</v>
      </c>
      <c r="J24" s="4">
        <f>data!E58</f>
        <v>-18678</v>
      </c>
      <c r="K24" s="4">
        <f>data!G58</f>
        <v>-10754</v>
      </c>
      <c r="L24" s="7">
        <f t="shared" si="4"/>
        <v>0.73684210526315785</v>
      </c>
      <c r="N24" s="4">
        <f t="shared" si="5"/>
        <v>-114898</v>
      </c>
      <c r="O24" s="4">
        <f t="shared" si="6"/>
        <v>-137821</v>
      </c>
      <c r="P24" s="7">
        <f t="shared" si="1"/>
        <v>-0.16632443531827515</v>
      </c>
    </row>
    <row r="25" spans="1:16" x14ac:dyDescent="0.2">
      <c r="A25" s="2" t="s">
        <v>122</v>
      </c>
      <c r="B25" s="4">
        <f>data!E35</f>
        <v>-84861</v>
      </c>
      <c r="C25" s="4">
        <f>data!G35</f>
        <v>-83309</v>
      </c>
      <c r="D25" s="7">
        <f t="shared" si="2"/>
        <v>1.8629439796420556E-2</v>
      </c>
      <c r="F25" s="4">
        <f>data!E47</f>
        <v>0</v>
      </c>
      <c r="G25" s="4">
        <f>data!G47</f>
        <v>0</v>
      </c>
      <c r="H25" s="48" t="s">
        <v>152</v>
      </c>
      <c r="J25" s="4">
        <f>data!E59</f>
        <v>-2694</v>
      </c>
      <c r="K25" s="4">
        <f>data!G59</f>
        <v>-8172</v>
      </c>
      <c r="L25" s="7">
        <f t="shared" si="4"/>
        <v>-0.67033773861967694</v>
      </c>
      <c r="N25" s="4">
        <f t="shared" si="5"/>
        <v>-87555</v>
      </c>
      <c r="O25" s="4">
        <f t="shared" si="6"/>
        <v>-91481</v>
      </c>
      <c r="P25" s="7">
        <f t="shared" si="1"/>
        <v>-4.2916015347449196E-2</v>
      </c>
    </row>
    <row r="26" spans="1:16" x14ac:dyDescent="0.2">
      <c r="A26" s="2" t="s">
        <v>123</v>
      </c>
      <c r="B26" s="4">
        <f>data!E36</f>
        <v>342996</v>
      </c>
      <c r="C26" s="4">
        <f>data!G36</f>
        <v>459875</v>
      </c>
      <c r="D26" s="7">
        <f t="shared" si="2"/>
        <v>-0.25415384615384617</v>
      </c>
      <c r="F26" s="4">
        <f>data!E48</f>
        <v>0</v>
      </c>
      <c r="G26" s="4">
        <f>data!G48</f>
        <v>0</v>
      </c>
      <c r="H26" s="48" t="s">
        <v>152</v>
      </c>
      <c r="J26" s="4">
        <f>data!E60</f>
        <v>99050</v>
      </c>
      <c r="K26" s="4">
        <f>data!G60</f>
        <v>91692</v>
      </c>
      <c r="L26" s="7">
        <f t="shared" si="4"/>
        <v>8.0246913580246909E-2</v>
      </c>
      <c r="N26" s="4">
        <f t="shared" si="5"/>
        <v>442046</v>
      </c>
      <c r="O26" s="4">
        <f t="shared" si="6"/>
        <v>551567</v>
      </c>
      <c r="P26" s="7">
        <f t="shared" si="1"/>
        <v>-0.19856336582863007</v>
      </c>
    </row>
    <row r="27" spans="1:16" x14ac:dyDescent="0.2">
      <c r="A27" s="2" t="s">
        <v>124</v>
      </c>
      <c r="B27" s="4">
        <f>data!E37</f>
        <v>111000</v>
      </c>
      <c r="C27" s="4">
        <f>data!G37</f>
        <v>89664</v>
      </c>
      <c r="D27" s="7">
        <f t="shared" si="2"/>
        <v>0.23795503211991434</v>
      </c>
      <c r="F27" s="4">
        <f>data!E49</f>
        <v>-33265.14</v>
      </c>
      <c r="G27" s="4">
        <f>data!G49</f>
        <v>-38307</v>
      </c>
      <c r="H27" s="7">
        <f t="shared" si="3"/>
        <v>-0.13161719790116691</v>
      </c>
      <c r="J27" s="4">
        <f>data!E61</f>
        <v>0</v>
      </c>
      <c r="K27" s="4">
        <f>data!G61</f>
        <v>0</v>
      </c>
      <c r="L27" s="48" t="s">
        <v>152</v>
      </c>
      <c r="N27" s="4">
        <f t="shared" si="5"/>
        <v>77734.86</v>
      </c>
      <c r="O27" s="4">
        <f t="shared" si="6"/>
        <v>51357</v>
      </c>
      <c r="P27" s="7">
        <f t="shared" si="1"/>
        <v>0.51361761785151006</v>
      </c>
    </row>
    <row r="28" spans="1:16" x14ac:dyDescent="0.2">
      <c r="A28" s="2" t="s">
        <v>15</v>
      </c>
      <c r="B28" s="4">
        <f>data!E38</f>
        <v>642787</v>
      </c>
      <c r="C28" s="4">
        <f>data!G38</f>
        <v>1120719.28</v>
      </c>
      <c r="D28" s="7">
        <f t="shared" si="2"/>
        <v>-0.42645137683363493</v>
      </c>
      <c r="F28" s="4">
        <f>data!E50</f>
        <v>250824</v>
      </c>
      <c r="G28" s="4">
        <f>data!G50</f>
        <v>587096.5</v>
      </c>
      <c r="H28" s="7">
        <f t="shared" si="3"/>
        <v>-0.57277210816279778</v>
      </c>
      <c r="J28" s="4">
        <f>data!E62</f>
        <v>17204</v>
      </c>
      <c r="K28" s="4">
        <f>data!G62</f>
        <v>5396</v>
      </c>
      <c r="L28" s="7">
        <f t="shared" si="4"/>
        <v>2.1882876204595996</v>
      </c>
      <c r="N28" s="4">
        <f t="shared" si="5"/>
        <v>910815</v>
      </c>
      <c r="O28" s="4">
        <f t="shared" si="6"/>
        <v>1713211.78</v>
      </c>
      <c r="P28" s="7">
        <f t="shared" si="1"/>
        <v>-0.46835819678989132</v>
      </c>
    </row>
    <row r="29" spans="1:16" x14ac:dyDescent="0.2">
      <c r="A29" s="2" t="s">
        <v>125</v>
      </c>
      <c r="B29" s="4">
        <f>data!E39</f>
        <v>509035.28</v>
      </c>
      <c r="C29" s="4">
        <f>data!G39</f>
        <v>113915.5</v>
      </c>
      <c r="D29" s="7">
        <f t="shared" si="2"/>
        <v>3.4685339571875646</v>
      </c>
      <c r="F29" s="4">
        <f>data!E51</f>
        <v>603074</v>
      </c>
      <c r="G29" s="4">
        <f>data!G51</f>
        <v>86118</v>
      </c>
      <c r="H29" s="7">
        <f t="shared" si="3"/>
        <v>6.0028797696184304</v>
      </c>
      <c r="J29" s="4">
        <f>data!E63</f>
        <v>151391</v>
      </c>
      <c r="K29" s="4">
        <f>data!G63</f>
        <v>165937</v>
      </c>
      <c r="L29" s="7">
        <f t="shared" si="4"/>
        <v>-8.7659774492729173E-2</v>
      </c>
      <c r="N29" s="4">
        <f t="shared" si="5"/>
        <v>1263500.28</v>
      </c>
      <c r="O29" s="4">
        <f t="shared" si="6"/>
        <v>365970.5</v>
      </c>
      <c r="P29" s="7">
        <f t="shared" si="1"/>
        <v>2.4524648298155181</v>
      </c>
    </row>
    <row r="30" spans="1:16" x14ac:dyDescent="0.2">
      <c r="A30" s="2" t="s">
        <v>126</v>
      </c>
      <c r="B30" s="4">
        <f>data!E40</f>
        <v>115071</v>
      </c>
      <c r="C30" s="4">
        <f>data!G40</f>
        <v>149415</v>
      </c>
      <c r="D30" s="7">
        <f t="shared" si="2"/>
        <v>-0.22985644011645417</v>
      </c>
      <c r="F30" s="4">
        <f>data!E52</f>
        <v>8892</v>
      </c>
      <c r="G30" s="4">
        <f>data!G52</f>
        <v>14286</v>
      </c>
      <c r="H30" s="7">
        <f t="shared" si="3"/>
        <v>-0.37757244855102901</v>
      </c>
      <c r="J30" s="4">
        <f>data!D69</f>
        <v>23250</v>
      </c>
      <c r="K30" s="4">
        <f>data!F69</f>
        <v>26217</v>
      </c>
      <c r="L30" s="7">
        <f t="shared" si="4"/>
        <v>-0.11317084334592059</v>
      </c>
      <c r="N30" s="4">
        <f t="shared" si="5"/>
        <v>147213</v>
      </c>
      <c r="O30" s="4">
        <f t="shared" si="6"/>
        <v>189918</v>
      </c>
      <c r="P30" s="7">
        <f t="shared" si="1"/>
        <v>-0.22486020282437683</v>
      </c>
    </row>
    <row r="31" spans="1:16" x14ac:dyDescent="0.2">
      <c r="A31" s="2" t="s">
        <v>127</v>
      </c>
      <c r="B31" s="4">
        <f>data!E41</f>
        <v>204976.5</v>
      </c>
      <c r="C31" s="4">
        <f>data!G41</f>
        <v>267839</v>
      </c>
      <c r="D31" s="7">
        <f t="shared" si="2"/>
        <v>-0.23470256385365834</v>
      </c>
      <c r="F31" s="4">
        <f>data!E53</f>
        <v>123634</v>
      </c>
      <c r="G31" s="4">
        <f>data!G53</f>
        <v>145283</v>
      </c>
      <c r="H31" s="7">
        <f t="shared" si="3"/>
        <v>-0.14901261675488528</v>
      </c>
      <c r="J31" s="4">
        <f>data!E64</f>
        <v>54951</v>
      </c>
      <c r="K31" s="4">
        <f>data!G64</f>
        <v>61380</v>
      </c>
      <c r="L31" s="7">
        <f t="shared" si="4"/>
        <v>-0.10474095796676441</v>
      </c>
      <c r="N31" s="4">
        <f t="shared" si="5"/>
        <v>383561.5</v>
      </c>
      <c r="O31" s="4">
        <f t="shared" si="6"/>
        <v>474502</v>
      </c>
      <c r="P31" s="7">
        <f t="shared" si="1"/>
        <v>-0.19165461894786534</v>
      </c>
    </row>
    <row r="32" spans="1:16" x14ac:dyDescent="0.2">
      <c r="B32" s="4"/>
      <c r="C32" s="4"/>
      <c r="D32" s="7"/>
      <c r="F32" s="4"/>
      <c r="G32" s="4"/>
      <c r="H32" s="7"/>
      <c r="J32" s="4"/>
      <c r="K32" s="4"/>
      <c r="L32" s="7"/>
      <c r="N32" s="4"/>
      <c r="O32" s="4"/>
      <c r="P32" s="7"/>
    </row>
    <row r="33" spans="1:17" x14ac:dyDescent="0.2">
      <c r="A33" s="2" t="s">
        <v>128</v>
      </c>
      <c r="B33" s="4">
        <f>SUM(B20:B31)</f>
        <v>6759708.7800000003</v>
      </c>
      <c r="C33" s="4">
        <f>SUM(C20:C31)</f>
        <v>8226604.2800000003</v>
      </c>
      <c r="D33" s="7">
        <f t="shared" si="2"/>
        <v>-0.17831117798703694</v>
      </c>
      <c r="F33" s="4">
        <f t="shared" ref="F33:G33" si="8">SUM(F20:F31)</f>
        <v>4178437.86</v>
      </c>
      <c r="G33" s="4">
        <f t="shared" si="8"/>
        <v>4310517.5</v>
      </c>
      <c r="H33" s="7">
        <f t="shared" ref="H33" si="9">IF(OR(F33=0,G33=0), "", (F33-G33)/G33)</f>
        <v>-3.064124899156543E-2</v>
      </c>
      <c r="J33" s="4">
        <f t="shared" ref="J33:K33" si="10">SUM(J20:J31)</f>
        <v>1619016</v>
      </c>
      <c r="K33" s="4">
        <f t="shared" si="10"/>
        <v>1755701</v>
      </c>
      <c r="L33" s="7">
        <f t="shared" ref="L33" si="11">IF(OR(J33=0,K33=0), "", (J33-K33)/K33)</f>
        <v>-7.78520944055964E-2</v>
      </c>
      <c r="N33" s="4">
        <f t="shared" ref="N33:O33" si="12">SUM(N20:N31)</f>
        <v>12557162.639999999</v>
      </c>
      <c r="O33" s="4">
        <f t="shared" si="12"/>
        <v>14292822.779999999</v>
      </c>
      <c r="P33" s="7">
        <f t="shared" ref="P33" si="13">IF(OR(N33=0,O33=0), "", (N33-O33)/O33)</f>
        <v>-0.12143578400963009</v>
      </c>
    </row>
    <row r="34" spans="1:17" x14ac:dyDescent="0.2">
      <c r="B34" s="4"/>
      <c r="C34" s="4"/>
      <c r="D34" s="7"/>
      <c r="F34" s="4"/>
      <c r="G34" s="4"/>
      <c r="H34" s="7"/>
      <c r="J34" s="4"/>
      <c r="K34" s="4"/>
      <c r="L34" s="7"/>
      <c r="N34" s="4"/>
      <c r="O34" s="4"/>
      <c r="P34" s="7"/>
    </row>
    <row r="35" spans="1:17" x14ac:dyDescent="0.2">
      <c r="B35" s="50" t="s">
        <v>146</v>
      </c>
      <c r="C35" s="50"/>
      <c r="D35" s="50"/>
      <c r="F35" s="50" t="s">
        <v>146</v>
      </c>
      <c r="G35" s="50"/>
      <c r="H35" s="50"/>
      <c r="J35" s="50" t="s">
        <v>146</v>
      </c>
      <c r="K35" s="50"/>
      <c r="L35" s="50"/>
      <c r="N35" s="50" t="s">
        <v>146</v>
      </c>
      <c r="O35" s="50"/>
      <c r="P35" s="50"/>
    </row>
    <row r="36" spans="1:17" x14ac:dyDescent="0.2">
      <c r="B36" s="41" t="s">
        <v>119</v>
      </c>
      <c r="C36" s="41" t="s">
        <v>147</v>
      </c>
      <c r="D36" s="42" t="s">
        <v>120</v>
      </c>
      <c r="E36" s="40"/>
      <c r="F36" s="41" t="s">
        <v>119</v>
      </c>
      <c r="G36" s="41" t="s">
        <v>147</v>
      </c>
      <c r="H36" s="42" t="s">
        <v>120</v>
      </c>
      <c r="I36" s="40"/>
      <c r="J36" s="41" t="s">
        <v>119</v>
      </c>
      <c r="K36" s="41" t="s">
        <v>147</v>
      </c>
      <c r="L36" s="42" t="s">
        <v>120</v>
      </c>
      <c r="M36" s="40"/>
      <c r="N36" s="41" t="s">
        <v>119</v>
      </c>
      <c r="O36" s="41" t="s">
        <v>147</v>
      </c>
      <c r="P36" s="42" t="s">
        <v>120</v>
      </c>
    </row>
    <row r="37" spans="1:17" x14ac:dyDescent="0.2">
      <c r="A37" s="5" t="s">
        <v>117</v>
      </c>
      <c r="B37" s="43">
        <f>'uaa PI'!I42</f>
        <v>4908.0869755634667</v>
      </c>
      <c r="C37" s="43" t="s">
        <v>147</v>
      </c>
      <c r="D37" s="43">
        <f>'uaa PI'!K42</f>
        <v>5430.1322304933565</v>
      </c>
      <c r="E37" s="40"/>
      <c r="F37" s="43">
        <f>'uaf PI'!I42</f>
        <v>2377.2902100533465</v>
      </c>
      <c r="G37" s="43" t="s">
        <v>147</v>
      </c>
      <c r="H37" s="43">
        <f>'uaf PI'!K42</f>
        <v>2818.7950727559119</v>
      </c>
      <c r="I37" s="40"/>
      <c r="J37" s="43">
        <f>'uas PI'!I42</f>
        <v>678.27464790136355</v>
      </c>
      <c r="K37" s="43" t="s">
        <v>147</v>
      </c>
      <c r="L37" s="43">
        <f>'uas PI'!K42</f>
        <v>1050.3797503124961</v>
      </c>
      <c r="M37" s="40"/>
      <c r="N37" s="43">
        <f>'system PI'!I42</f>
        <v>7811.9550534028212</v>
      </c>
      <c r="O37" s="43" t="s">
        <v>147</v>
      </c>
      <c r="P37" s="43">
        <f>'system PI'!K42</f>
        <v>8568.7347551219555</v>
      </c>
      <c r="Q37" s="49"/>
    </row>
    <row r="38" spans="1:17" x14ac:dyDescent="0.2">
      <c r="A38" s="5" t="s">
        <v>118</v>
      </c>
      <c r="B38" s="44"/>
      <c r="C38" s="44">
        <f>'uaa PI'!I34</f>
        <v>1.3253916095431204E-8</v>
      </c>
      <c r="D38" s="44"/>
      <c r="E38" s="44"/>
      <c r="F38" s="44"/>
      <c r="G38" s="44">
        <f>'uaf PI'!I34</f>
        <v>2.2340455200130071E-6</v>
      </c>
      <c r="H38" s="44"/>
      <c r="I38" s="44"/>
      <c r="J38" s="44"/>
      <c r="K38" s="44">
        <f>'uas PI'!I34</f>
        <v>2.867842859030178E-5</v>
      </c>
      <c r="L38" s="44"/>
      <c r="M38" s="44"/>
      <c r="N38" s="44"/>
      <c r="O38" s="44">
        <f>'system PI'!I34</f>
        <v>4.4853070169365077E-9</v>
      </c>
      <c r="P38" s="44"/>
      <c r="Q38" s="49"/>
    </row>
    <row r="39" spans="1:17" x14ac:dyDescent="0.2">
      <c r="A39" s="5"/>
      <c r="B39" s="44"/>
      <c r="C39" s="44"/>
      <c r="D39" s="44"/>
      <c r="E39" s="44"/>
      <c r="F39" s="44"/>
      <c r="G39" s="44"/>
      <c r="H39" s="44"/>
      <c r="I39" s="44"/>
      <c r="J39" s="44"/>
      <c r="K39" s="44"/>
      <c r="L39" s="44"/>
      <c r="M39" s="44"/>
      <c r="N39" s="44"/>
      <c r="O39" s="44"/>
      <c r="P39" s="44"/>
      <c r="Q39" s="49"/>
    </row>
    <row r="40" spans="1:17" x14ac:dyDescent="0.2">
      <c r="A40" s="5" t="s">
        <v>145</v>
      </c>
      <c r="B40" s="50">
        <v>6009</v>
      </c>
      <c r="C40" s="50"/>
      <c r="D40" s="50"/>
      <c r="E40" s="44"/>
      <c r="F40" s="50">
        <v>2685</v>
      </c>
      <c r="G40" s="50"/>
      <c r="H40" s="50"/>
      <c r="I40" s="44"/>
      <c r="J40" s="50">
        <v>862</v>
      </c>
      <c r="K40" s="50"/>
      <c r="L40" s="50"/>
      <c r="M40" s="44"/>
      <c r="N40" s="50">
        <v>9252</v>
      </c>
      <c r="O40" s="50"/>
      <c r="P40" s="50"/>
      <c r="Q40" s="49"/>
    </row>
    <row r="41" spans="1:17" x14ac:dyDescent="0.2">
      <c r="B41" s="4"/>
      <c r="C41" s="4"/>
      <c r="F41" s="4"/>
      <c r="G41" s="4"/>
      <c r="J41" s="4"/>
      <c r="K41" s="4"/>
      <c r="N41" s="4"/>
      <c r="O41" s="4"/>
    </row>
    <row r="42" spans="1:17" x14ac:dyDescent="0.2">
      <c r="B42" s="4"/>
      <c r="C42" s="4"/>
      <c r="F42" s="4"/>
      <c r="G42" s="4"/>
      <c r="J42" s="4"/>
      <c r="K42" s="4"/>
      <c r="N42" s="4"/>
      <c r="O42" s="4"/>
    </row>
    <row r="43" spans="1:17" x14ac:dyDescent="0.2">
      <c r="B43" s="4"/>
      <c r="C43" s="4"/>
      <c r="F43" s="4"/>
      <c r="G43" s="4"/>
      <c r="J43" s="4"/>
      <c r="K43" s="4"/>
      <c r="N43" s="4"/>
      <c r="O43" s="4"/>
    </row>
    <row r="44" spans="1:17" x14ac:dyDescent="0.2">
      <c r="A44" s="10"/>
      <c r="B44" s="10"/>
      <c r="C44" s="10"/>
      <c r="D44" s="10"/>
      <c r="E44" s="10"/>
      <c r="F44" s="10"/>
      <c r="G44" s="10"/>
      <c r="H44" s="10"/>
      <c r="I44" s="10"/>
      <c r="J44" s="10"/>
      <c r="K44" s="10"/>
      <c r="L44" s="10"/>
      <c r="M44" s="10"/>
      <c r="N44" s="10"/>
      <c r="O44" s="10"/>
      <c r="P44" s="10"/>
    </row>
    <row r="45" spans="1:17" s="1" customFormat="1" ht="12" x14ac:dyDescent="0.25">
      <c r="A45" s="8"/>
      <c r="P45" s="9"/>
    </row>
    <row r="53" spans="1:1" hidden="1" x14ac:dyDescent="0.2"/>
    <row r="54" spans="1:1" hidden="1" x14ac:dyDescent="0.2">
      <c r="A54" s="11" t="s">
        <v>14</v>
      </c>
    </row>
    <row r="55" spans="1:1" hidden="1" x14ac:dyDescent="0.2">
      <c r="A55" s="11" t="s">
        <v>155</v>
      </c>
    </row>
    <row r="56" spans="1:1" hidden="1" x14ac:dyDescent="0.2"/>
    <row r="57" spans="1:1" hidden="1" x14ac:dyDescent="0.2">
      <c r="A57" s="3">
        <f>data!B2</f>
        <v>44347</v>
      </c>
    </row>
    <row r="58" spans="1:1" hidden="1" x14ac:dyDescent="0.2">
      <c r="A58" s="3">
        <f>data!J2</f>
        <v>43983</v>
      </c>
    </row>
  </sheetData>
  <dataConsolidate/>
  <mergeCells count="16">
    <mergeCell ref="A1:P1"/>
    <mergeCell ref="N6:P6"/>
    <mergeCell ref="A2:P2"/>
    <mergeCell ref="A3:P3"/>
    <mergeCell ref="A4:L4"/>
    <mergeCell ref="B6:D6"/>
    <mergeCell ref="F6:H6"/>
    <mergeCell ref="J6:L6"/>
    <mergeCell ref="B40:D40"/>
    <mergeCell ref="F40:H40"/>
    <mergeCell ref="J40:L40"/>
    <mergeCell ref="N40:P40"/>
    <mergeCell ref="B35:D35"/>
    <mergeCell ref="F35:H35"/>
    <mergeCell ref="J35:L35"/>
    <mergeCell ref="N35:P35"/>
  </mergeCells>
  <phoneticPr fontId="0" type="noConversion"/>
  <pageMargins left="0.75" right="0.75" top="1" bottom="1" header="0.5" footer="0.5"/>
  <pageSetup paperSize="5" scale="85" orientation="landscape" r:id="rId1"/>
  <headerFooter alignWithMargins="0">
    <oddFooter>&amp;L&amp;G&amp;Cwww.alaska.edu/ir/reporting/&amp;R&amp;D</oddFooter>
  </headerFooter>
  <ignoredErrors>
    <ignoredError sqref="B12:C13 J12:K13 F12:G13 N12:O13" formulaRange="1"/>
  </ignoredErrors>
  <drawing r:id="rId2"/>
  <legacyDrawingHF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9"/>
  <sheetViews>
    <sheetView zoomScale="90" zoomScaleNormal="90" workbookViewId="0">
      <selection activeCell="E25" sqref="E25"/>
    </sheetView>
  </sheetViews>
  <sheetFormatPr defaultColWidth="8.77734375" defaultRowHeight="13.2" x14ac:dyDescent="0.25"/>
  <cols>
    <col min="1" max="1" width="9.77734375" customWidth="1"/>
    <col min="2" max="2" width="14.77734375" bestFit="1" customWidth="1"/>
    <col min="3" max="3" width="6.44140625" bestFit="1" customWidth="1"/>
    <col min="4" max="4" width="13.109375" bestFit="1" customWidth="1"/>
    <col min="5" max="5" width="18.44140625" bestFit="1" customWidth="1"/>
    <col min="6" max="6" width="13.77734375" bestFit="1" customWidth="1"/>
    <col min="7" max="7" width="11" bestFit="1" customWidth="1"/>
    <col min="8" max="8" width="9" bestFit="1" customWidth="1"/>
    <col min="9" max="9" width="7.44140625" bestFit="1" customWidth="1"/>
    <col min="10" max="10" width="13.77734375" bestFit="1" customWidth="1"/>
    <col min="11" max="12" width="12.109375" bestFit="1" customWidth="1"/>
    <col min="13" max="13" width="8.77734375" customWidth="1"/>
    <col min="14" max="14" width="13.6640625" bestFit="1" customWidth="1"/>
    <col min="15" max="16" width="8.77734375" customWidth="1"/>
    <col min="17" max="17" width="10.109375" bestFit="1" customWidth="1"/>
    <col min="25" max="25" width="13.77734375" bestFit="1" customWidth="1"/>
  </cols>
  <sheetData>
    <row r="1" spans="1:31" x14ac:dyDescent="0.25">
      <c r="A1" s="55" t="s">
        <v>41</v>
      </c>
      <c r="B1" t="s">
        <v>16</v>
      </c>
      <c r="C1" t="s">
        <v>17</v>
      </c>
      <c r="D1" t="s">
        <v>18</v>
      </c>
      <c r="E1" t="s">
        <v>19</v>
      </c>
      <c r="F1" t="s">
        <v>20</v>
      </c>
      <c r="G1" t="s">
        <v>21</v>
      </c>
      <c r="H1" t="s">
        <v>22</v>
      </c>
      <c r="I1" t="s">
        <v>23</v>
      </c>
      <c r="J1" t="s">
        <v>24</v>
      </c>
      <c r="K1" t="s">
        <v>25</v>
      </c>
      <c r="L1" t="s">
        <v>26</v>
      </c>
      <c r="M1" t="s">
        <v>27</v>
      </c>
      <c r="N1" t="s">
        <v>28</v>
      </c>
      <c r="Q1" t="s">
        <v>16</v>
      </c>
      <c r="R1" t="s">
        <v>17</v>
      </c>
      <c r="S1" t="s">
        <v>18</v>
      </c>
      <c r="T1" t="s">
        <v>19</v>
      </c>
      <c r="U1" t="s">
        <v>20</v>
      </c>
      <c r="V1" t="s">
        <v>21</v>
      </c>
      <c r="W1" t="s">
        <v>22</v>
      </c>
      <c r="X1" t="s">
        <v>23</v>
      </c>
      <c r="Y1" t="s">
        <v>24</v>
      </c>
      <c r="Z1" t="s">
        <v>25</v>
      </c>
      <c r="AA1" t="s">
        <v>26</v>
      </c>
      <c r="AB1" t="s">
        <v>27</v>
      </c>
      <c r="AC1" t="s">
        <v>28</v>
      </c>
      <c r="AE1" s="13" t="s">
        <v>51</v>
      </c>
    </row>
    <row r="2" spans="1:31" x14ac:dyDescent="0.25">
      <c r="A2" s="55"/>
      <c r="B2" s="12">
        <v>44347</v>
      </c>
      <c r="C2" t="s">
        <v>29</v>
      </c>
      <c r="D2" t="s">
        <v>30</v>
      </c>
      <c r="E2" t="s">
        <v>31</v>
      </c>
      <c r="F2">
        <v>6</v>
      </c>
      <c r="G2">
        <v>19</v>
      </c>
      <c r="H2">
        <v>5</v>
      </c>
      <c r="I2">
        <v>6</v>
      </c>
      <c r="J2" s="12">
        <v>43983</v>
      </c>
      <c r="K2">
        <v>4</v>
      </c>
      <c r="L2">
        <v>11</v>
      </c>
      <c r="M2">
        <v>1</v>
      </c>
      <c r="N2">
        <v>7</v>
      </c>
      <c r="Q2" s="12">
        <v>44347</v>
      </c>
      <c r="R2" t="s">
        <v>29</v>
      </c>
      <c r="S2" t="s">
        <v>30</v>
      </c>
      <c r="T2" t="s">
        <v>31</v>
      </c>
      <c r="U2">
        <v>6</v>
      </c>
      <c r="V2">
        <v>19</v>
      </c>
      <c r="W2">
        <v>5</v>
      </c>
      <c r="X2">
        <v>6</v>
      </c>
      <c r="Y2" s="12">
        <v>43983</v>
      </c>
      <c r="Z2">
        <v>4</v>
      </c>
      <c r="AA2">
        <v>11</v>
      </c>
      <c r="AB2">
        <v>1</v>
      </c>
      <c r="AC2">
        <v>7</v>
      </c>
      <c r="AE2" t="str">
        <f>IF(E2=T2, "", "XXXXXX")</f>
        <v/>
      </c>
    </row>
    <row r="3" spans="1:31" x14ac:dyDescent="0.25">
      <c r="A3" s="55"/>
      <c r="B3" s="12">
        <v>44347</v>
      </c>
      <c r="C3" t="s">
        <v>29</v>
      </c>
      <c r="D3" t="s">
        <v>32</v>
      </c>
      <c r="E3" t="s">
        <v>33</v>
      </c>
      <c r="F3">
        <v>108</v>
      </c>
      <c r="G3">
        <v>422</v>
      </c>
      <c r="H3">
        <v>93</v>
      </c>
      <c r="I3">
        <v>162</v>
      </c>
      <c r="J3" s="12">
        <v>43983</v>
      </c>
      <c r="K3">
        <v>76</v>
      </c>
      <c r="L3">
        <v>193</v>
      </c>
      <c r="M3">
        <v>59</v>
      </c>
      <c r="N3">
        <v>92</v>
      </c>
      <c r="Q3" s="12">
        <v>44347</v>
      </c>
      <c r="R3" t="s">
        <v>29</v>
      </c>
      <c r="S3" t="s">
        <v>32</v>
      </c>
      <c r="T3" t="s">
        <v>33</v>
      </c>
      <c r="U3">
        <v>108</v>
      </c>
      <c r="V3">
        <v>422</v>
      </c>
      <c r="W3">
        <v>93</v>
      </c>
      <c r="X3">
        <v>162</v>
      </c>
      <c r="Y3" s="12">
        <v>43983</v>
      </c>
      <c r="Z3">
        <v>76</v>
      </c>
      <c r="AA3">
        <v>193</v>
      </c>
      <c r="AB3">
        <v>59</v>
      </c>
      <c r="AC3">
        <v>92</v>
      </c>
      <c r="AE3" t="str">
        <f t="shared" ref="AE3:AE17" si="0">IF(E3=T3, "", "XXXXXX")</f>
        <v/>
      </c>
    </row>
    <row r="4" spans="1:31" x14ac:dyDescent="0.25">
      <c r="A4" s="55"/>
      <c r="B4" s="12">
        <v>44347</v>
      </c>
      <c r="C4" t="s">
        <v>29</v>
      </c>
      <c r="D4" t="s">
        <v>34</v>
      </c>
      <c r="E4" t="s">
        <v>35</v>
      </c>
      <c r="F4">
        <v>443</v>
      </c>
      <c r="G4">
        <v>1069</v>
      </c>
      <c r="H4">
        <v>396</v>
      </c>
      <c r="I4">
        <v>555</v>
      </c>
      <c r="J4" s="12">
        <v>43983</v>
      </c>
      <c r="K4">
        <v>405</v>
      </c>
      <c r="L4">
        <v>596</v>
      </c>
      <c r="M4">
        <v>320</v>
      </c>
      <c r="N4">
        <v>367</v>
      </c>
      <c r="Q4" s="12">
        <v>44347</v>
      </c>
      <c r="R4" t="s">
        <v>29</v>
      </c>
      <c r="S4" t="s">
        <v>34</v>
      </c>
      <c r="T4" t="s">
        <v>35</v>
      </c>
      <c r="U4">
        <v>443</v>
      </c>
      <c r="V4">
        <v>1069</v>
      </c>
      <c r="W4">
        <v>396</v>
      </c>
      <c r="X4">
        <v>555</v>
      </c>
      <c r="Y4" s="12">
        <v>43983</v>
      </c>
      <c r="Z4">
        <v>405</v>
      </c>
      <c r="AA4">
        <v>596</v>
      </c>
      <c r="AB4">
        <v>320</v>
      </c>
      <c r="AC4">
        <v>367</v>
      </c>
      <c r="AE4" t="str">
        <f t="shared" si="0"/>
        <v/>
      </c>
    </row>
    <row r="5" spans="1:31" x14ac:dyDescent="0.25">
      <c r="A5" s="55"/>
      <c r="B5" s="12">
        <v>44347</v>
      </c>
      <c r="C5" t="s">
        <v>29</v>
      </c>
      <c r="D5" t="s">
        <v>36</v>
      </c>
      <c r="E5" t="s">
        <v>37</v>
      </c>
      <c r="F5">
        <v>76</v>
      </c>
      <c r="G5">
        <v>65</v>
      </c>
      <c r="H5">
        <v>62</v>
      </c>
      <c r="I5">
        <v>27</v>
      </c>
      <c r="J5" s="12">
        <v>43983</v>
      </c>
      <c r="K5">
        <v>86</v>
      </c>
      <c r="L5">
        <v>88</v>
      </c>
      <c r="M5">
        <v>68</v>
      </c>
      <c r="N5">
        <v>21</v>
      </c>
      <c r="Q5" s="12">
        <v>44347</v>
      </c>
      <c r="R5" t="s">
        <v>29</v>
      </c>
      <c r="S5" t="s">
        <v>36</v>
      </c>
      <c r="T5" t="s">
        <v>37</v>
      </c>
      <c r="U5">
        <v>76</v>
      </c>
      <c r="V5">
        <v>65</v>
      </c>
      <c r="W5">
        <v>62</v>
      </c>
      <c r="X5">
        <v>27</v>
      </c>
      <c r="Y5" s="12">
        <v>43983</v>
      </c>
      <c r="Z5">
        <v>86</v>
      </c>
      <c r="AA5">
        <v>88</v>
      </c>
      <c r="AB5">
        <v>68</v>
      </c>
      <c r="AC5">
        <v>21</v>
      </c>
      <c r="AE5" t="str">
        <f t="shared" si="0"/>
        <v/>
      </c>
    </row>
    <row r="6" spans="1:31" x14ac:dyDescent="0.25">
      <c r="A6" s="55"/>
      <c r="B6" s="12">
        <v>44347</v>
      </c>
      <c r="C6" t="s">
        <v>38</v>
      </c>
      <c r="D6" t="s">
        <v>30</v>
      </c>
      <c r="E6" t="s">
        <v>31</v>
      </c>
      <c r="F6">
        <v>7</v>
      </c>
      <c r="G6">
        <v>6</v>
      </c>
      <c r="H6">
        <v>6</v>
      </c>
      <c r="I6">
        <v>4</v>
      </c>
      <c r="J6" s="12">
        <v>43983</v>
      </c>
      <c r="K6">
        <v>9</v>
      </c>
      <c r="L6">
        <v>7</v>
      </c>
      <c r="M6">
        <v>9</v>
      </c>
      <c r="N6">
        <v>4</v>
      </c>
      <c r="Q6" s="12">
        <v>44347</v>
      </c>
      <c r="R6" t="s">
        <v>38</v>
      </c>
      <c r="S6" t="s">
        <v>30</v>
      </c>
      <c r="T6" t="s">
        <v>31</v>
      </c>
      <c r="U6">
        <v>7</v>
      </c>
      <c r="V6">
        <v>6</v>
      </c>
      <c r="W6">
        <v>6</v>
      </c>
      <c r="X6">
        <v>4</v>
      </c>
      <c r="Y6" s="12">
        <v>43983</v>
      </c>
      <c r="Z6">
        <v>9</v>
      </c>
      <c r="AA6">
        <v>7</v>
      </c>
      <c r="AB6">
        <v>9</v>
      </c>
      <c r="AC6">
        <v>4</v>
      </c>
      <c r="AE6" t="str">
        <f t="shared" si="0"/>
        <v/>
      </c>
    </row>
    <row r="7" spans="1:31" x14ac:dyDescent="0.25">
      <c r="A7" s="55"/>
      <c r="B7" s="12">
        <v>44347</v>
      </c>
      <c r="C7" t="s">
        <v>38</v>
      </c>
      <c r="D7" t="s">
        <v>32</v>
      </c>
      <c r="E7" t="s">
        <v>33</v>
      </c>
      <c r="F7">
        <v>70</v>
      </c>
      <c r="G7">
        <v>126</v>
      </c>
      <c r="H7">
        <v>61</v>
      </c>
      <c r="I7">
        <v>82</v>
      </c>
      <c r="J7" s="12">
        <v>43983</v>
      </c>
      <c r="K7">
        <v>63</v>
      </c>
      <c r="L7">
        <v>112</v>
      </c>
      <c r="M7">
        <v>57</v>
      </c>
      <c r="N7">
        <v>75</v>
      </c>
      <c r="Q7" s="12">
        <v>44347</v>
      </c>
      <c r="R7" t="s">
        <v>38</v>
      </c>
      <c r="S7" t="s">
        <v>32</v>
      </c>
      <c r="T7" t="s">
        <v>33</v>
      </c>
      <c r="U7">
        <v>70</v>
      </c>
      <c r="V7">
        <v>126</v>
      </c>
      <c r="W7">
        <v>61</v>
      </c>
      <c r="X7">
        <v>82</v>
      </c>
      <c r="Y7" s="12">
        <v>43983</v>
      </c>
      <c r="Z7">
        <v>63</v>
      </c>
      <c r="AA7">
        <v>112</v>
      </c>
      <c r="AB7">
        <v>57</v>
      </c>
      <c r="AC7">
        <v>75</v>
      </c>
      <c r="AE7" t="str">
        <f t="shared" si="0"/>
        <v/>
      </c>
    </row>
    <row r="8" spans="1:31" x14ac:dyDescent="0.25">
      <c r="A8" s="55"/>
      <c r="B8" s="12">
        <v>44347</v>
      </c>
      <c r="C8" t="s">
        <v>38</v>
      </c>
      <c r="D8" t="s">
        <v>34</v>
      </c>
      <c r="E8" t="s">
        <v>35</v>
      </c>
      <c r="F8">
        <v>260</v>
      </c>
      <c r="G8">
        <v>391</v>
      </c>
      <c r="H8">
        <v>238</v>
      </c>
      <c r="I8">
        <v>261</v>
      </c>
      <c r="J8" s="12">
        <v>43983</v>
      </c>
      <c r="K8">
        <v>292</v>
      </c>
      <c r="L8">
        <v>365</v>
      </c>
      <c r="M8">
        <v>262</v>
      </c>
      <c r="N8">
        <v>246</v>
      </c>
      <c r="Q8" s="12">
        <v>44347</v>
      </c>
      <c r="R8" t="s">
        <v>38</v>
      </c>
      <c r="S8" t="s">
        <v>34</v>
      </c>
      <c r="T8" t="s">
        <v>35</v>
      </c>
      <c r="U8">
        <v>260</v>
      </c>
      <c r="V8">
        <v>391</v>
      </c>
      <c r="W8">
        <v>238</v>
      </c>
      <c r="X8">
        <v>261</v>
      </c>
      <c r="Y8" s="12">
        <v>43983</v>
      </c>
      <c r="Z8">
        <v>292</v>
      </c>
      <c r="AA8">
        <v>365</v>
      </c>
      <c r="AB8">
        <v>262</v>
      </c>
      <c r="AC8">
        <v>246</v>
      </c>
      <c r="AE8" t="str">
        <f t="shared" si="0"/>
        <v/>
      </c>
    </row>
    <row r="9" spans="1:31" x14ac:dyDescent="0.25">
      <c r="A9" s="55"/>
      <c r="B9" s="12">
        <v>44347</v>
      </c>
      <c r="C9" t="s">
        <v>38</v>
      </c>
      <c r="D9" t="s">
        <v>36</v>
      </c>
      <c r="E9" t="s">
        <v>37</v>
      </c>
      <c r="F9">
        <v>60</v>
      </c>
      <c r="G9">
        <v>41</v>
      </c>
      <c r="H9">
        <v>53</v>
      </c>
      <c r="I9">
        <v>9</v>
      </c>
      <c r="J9" s="12">
        <v>43983</v>
      </c>
      <c r="K9">
        <v>60</v>
      </c>
      <c r="L9">
        <v>60</v>
      </c>
      <c r="M9">
        <v>52</v>
      </c>
      <c r="N9">
        <v>14</v>
      </c>
      <c r="Q9" s="12">
        <v>44347</v>
      </c>
      <c r="R9" t="s">
        <v>38</v>
      </c>
      <c r="S9" t="s">
        <v>36</v>
      </c>
      <c r="T9" t="s">
        <v>37</v>
      </c>
      <c r="U9">
        <v>60</v>
      </c>
      <c r="V9">
        <v>41</v>
      </c>
      <c r="W9">
        <v>53</v>
      </c>
      <c r="X9">
        <v>9</v>
      </c>
      <c r="Y9" s="12">
        <v>43983</v>
      </c>
      <c r="Z9">
        <v>60</v>
      </c>
      <c r="AA9">
        <v>60</v>
      </c>
      <c r="AB9">
        <v>52</v>
      </c>
      <c r="AC9">
        <v>14</v>
      </c>
      <c r="AE9" t="str">
        <f t="shared" si="0"/>
        <v/>
      </c>
    </row>
    <row r="10" spans="1:31" x14ac:dyDescent="0.25">
      <c r="A10" s="55"/>
      <c r="B10" s="12">
        <v>44347</v>
      </c>
      <c r="C10" t="s">
        <v>39</v>
      </c>
      <c r="D10" t="s">
        <v>30</v>
      </c>
      <c r="E10" t="s">
        <v>31</v>
      </c>
      <c r="F10">
        <v>1</v>
      </c>
      <c r="G10">
        <v>2</v>
      </c>
      <c r="H10">
        <v>1</v>
      </c>
      <c r="I10">
        <v>0</v>
      </c>
      <c r="J10" s="12">
        <v>43983</v>
      </c>
      <c r="K10">
        <v>2</v>
      </c>
      <c r="L10">
        <v>0</v>
      </c>
      <c r="M10">
        <v>1</v>
      </c>
      <c r="N10">
        <v>0</v>
      </c>
      <c r="Q10" s="12">
        <v>44347</v>
      </c>
      <c r="R10" t="s">
        <v>39</v>
      </c>
      <c r="S10" t="s">
        <v>30</v>
      </c>
      <c r="T10" t="s">
        <v>31</v>
      </c>
      <c r="U10">
        <v>1</v>
      </c>
      <c r="V10">
        <v>2</v>
      </c>
      <c r="W10">
        <v>1</v>
      </c>
      <c r="X10">
        <v>0</v>
      </c>
      <c r="Y10" s="12">
        <v>43983</v>
      </c>
      <c r="Z10">
        <v>2</v>
      </c>
      <c r="AA10">
        <v>0</v>
      </c>
      <c r="AB10">
        <v>1</v>
      </c>
      <c r="AC10">
        <v>0</v>
      </c>
      <c r="AE10" t="str">
        <f t="shared" si="0"/>
        <v/>
      </c>
    </row>
    <row r="11" spans="1:31" x14ac:dyDescent="0.25">
      <c r="A11" s="55"/>
      <c r="B11" s="12">
        <v>44347</v>
      </c>
      <c r="C11" t="s">
        <v>39</v>
      </c>
      <c r="D11" t="s">
        <v>32</v>
      </c>
      <c r="E11" t="s">
        <v>33</v>
      </c>
      <c r="F11">
        <v>10</v>
      </c>
      <c r="G11">
        <v>40</v>
      </c>
      <c r="H11">
        <v>10</v>
      </c>
      <c r="I11">
        <v>19</v>
      </c>
      <c r="J11" s="12">
        <v>43983</v>
      </c>
      <c r="K11">
        <v>8</v>
      </c>
      <c r="L11">
        <v>21</v>
      </c>
      <c r="M11">
        <v>5</v>
      </c>
      <c r="N11">
        <v>8</v>
      </c>
      <c r="Q11" s="12">
        <v>44347</v>
      </c>
      <c r="R11" t="s">
        <v>39</v>
      </c>
      <c r="S11" t="s">
        <v>32</v>
      </c>
      <c r="T11" t="s">
        <v>33</v>
      </c>
      <c r="U11">
        <v>10</v>
      </c>
      <c r="V11">
        <v>40</v>
      </c>
      <c r="W11">
        <v>10</v>
      </c>
      <c r="X11">
        <v>19</v>
      </c>
      <c r="Y11" s="12">
        <v>43983</v>
      </c>
      <c r="Z11">
        <v>8</v>
      </c>
      <c r="AA11">
        <v>21</v>
      </c>
      <c r="AB11">
        <v>5</v>
      </c>
      <c r="AC11">
        <v>8</v>
      </c>
      <c r="AE11" t="str">
        <f t="shared" si="0"/>
        <v/>
      </c>
    </row>
    <row r="12" spans="1:31" x14ac:dyDescent="0.25">
      <c r="A12" s="55"/>
      <c r="B12" s="12">
        <v>44347</v>
      </c>
      <c r="C12" t="s">
        <v>39</v>
      </c>
      <c r="D12" t="s">
        <v>34</v>
      </c>
      <c r="E12" t="s">
        <v>35</v>
      </c>
      <c r="F12">
        <v>65</v>
      </c>
      <c r="G12">
        <v>108</v>
      </c>
      <c r="H12">
        <v>60</v>
      </c>
      <c r="I12">
        <v>47</v>
      </c>
      <c r="J12" s="12">
        <v>43983</v>
      </c>
      <c r="K12">
        <v>70</v>
      </c>
      <c r="L12">
        <v>85</v>
      </c>
      <c r="M12">
        <v>55</v>
      </c>
      <c r="N12">
        <v>32</v>
      </c>
      <c r="Q12" s="12">
        <v>44347</v>
      </c>
      <c r="R12" t="s">
        <v>39</v>
      </c>
      <c r="S12" t="s">
        <v>34</v>
      </c>
      <c r="T12" t="s">
        <v>35</v>
      </c>
      <c r="U12">
        <v>65</v>
      </c>
      <c r="V12">
        <v>108</v>
      </c>
      <c r="W12">
        <v>60</v>
      </c>
      <c r="X12">
        <v>47</v>
      </c>
      <c r="Y12" s="12">
        <v>43983</v>
      </c>
      <c r="Z12">
        <v>70</v>
      </c>
      <c r="AA12">
        <v>85</v>
      </c>
      <c r="AB12">
        <v>55</v>
      </c>
      <c r="AC12">
        <v>32</v>
      </c>
      <c r="AE12" t="str">
        <f t="shared" si="0"/>
        <v/>
      </c>
    </row>
    <row r="13" spans="1:31" x14ac:dyDescent="0.25">
      <c r="A13" s="55"/>
      <c r="B13" s="12">
        <v>44347</v>
      </c>
      <c r="C13" t="s">
        <v>39</v>
      </c>
      <c r="D13" t="s">
        <v>36</v>
      </c>
      <c r="E13" t="s">
        <v>37</v>
      </c>
      <c r="F13">
        <v>57</v>
      </c>
      <c r="G13">
        <v>57</v>
      </c>
      <c r="H13">
        <v>52</v>
      </c>
      <c r="I13">
        <v>9</v>
      </c>
      <c r="J13" s="12">
        <v>43983</v>
      </c>
      <c r="K13">
        <v>84</v>
      </c>
      <c r="L13">
        <v>44</v>
      </c>
      <c r="M13">
        <v>70</v>
      </c>
      <c r="N13">
        <v>13</v>
      </c>
      <c r="Q13" s="12">
        <v>44347</v>
      </c>
      <c r="R13" t="s">
        <v>39</v>
      </c>
      <c r="S13" t="s">
        <v>36</v>
      </c>
      <c r="T13" t="s">
        <v>37</v>
      </c>
      <c r="U13">
        <v>57</v>
      </c>
      <c r="V13">
        <v>57</v>
      </c>
      <c r="W13">
        <v>52</v>
      </c>
      <c r="X13">
        <v>9</v>
      </c>
      <c r="Y13" s="12">
        <v>43983</v>
      </c>
      <c r="Z13">
        <v>84</v>
      </c>
      <c r="AA13">
        <v>44</v>
      </c>
      <c r="AB13">
        <v>70</v>
      </c>
      <c r="AC13">
        <v>13</v>
      </c>
      <c r="AE13" t="str">
        <f t="shared" si="0"/>
        <v/>
      </c>
    </row>
    <row r="14" spans="1:31" x14ac:dyDescent="0.25">
      <c r="A14" s="55"/>
      <c r="B14" s="12">
        <v>44347</v>
      </c>
      <c r="C14" t="s">
        <v>40</v>
      </c>
      <c r="D14" t="s">
        <v>30</v>
      </c>
      <c r="E14" t="s">
        <v>31</v>
      </c>
      <c r="F14">
        <v>14</v>
      </c>
      <c r="G14">
        <v>27</v>
      </c>
      <c r="H14">
        <v>12</v>
      </c>
      <c r="I14">
        <v>10</v>
      </c>
      <c r="J14" s="12">
        <v>43983</v>
      </c>
      <c r="K14">
        <v>15</v>
      </c>
      <c r="L14">
        <v>18</v>
      </c>
      <c r="M14">
        <v>11</v>
      </c>
      <c r="N14">
        <v>11</v>
      </c>
      <c r="Q14" s="12">
        <v>44347</v>
      </c>
      <c r="R14" t="s">
        <v>40</v>
      </c>
      <c r="S14" t="s">
        <v>30</v>
      </c>
      <c r="T14" t="s">
        <v>31</v>
      </c>
      <c r="U14">
        <v>14</v>
      </c>
      <c r="V14">
        <v>27</v>
      </c>
      <c r="W14">
        <v>12</v>
      </c>
      <c r="X14">
        <v>10</v>
      </c>
      <c r="Y14" s="12">
        <v>43983</v>
      </c>
      <c r="Z14">
        <v>15</v>
      </c>
      <c r="AA14">
        <v>18</v>
      </c>
      <c r="AB14">
        <v>11</v>
      </c>
      <c r="AC14">
        <v>11</v>
      </c>
      <c r="AE14" t="str">
        <f t="shared" si="0"/>
        <v/>
      </c>
    </row>
    <row r="15" spans="1:31" x14ac:dyDescent="0.25">
      <c r="A15" s="55"/>
      <c r="B15" s="12">
        <v>44347</v>
      </c>
      <c r="C15" t="s">
        <v>40</v>
      </c>
      <c r="D15" t="s">
        <v>32</v>
      </c>
      <c r="E15" t="s">
        <v>33</v>
      </c>
      <c r="F15">
        <v>188</v>
      </c>
      <c r="G15">
        <v>588</v>
      </c>
      <c r="H15">
        <v>164</v>
      </c>
      <c r="I15">
        <v>263</v>
      </c>
      <c r="J15" s="12">
        <v>43983</v>
      </c>
      <c r="K15">
        <v>147</v>
      </c>
      <c r="L15">
        <v>326</v>
      </c>
      <c r="M15">
        <v>121</v>
      </c>
      <c r="N15">
        <v>175</v>
      </c>
      <c r="Q15" s="12">
        <v>44347</v>
      </c>
      <c r="R15" t="s">
        <v>40</v>
      </c>
      <c r="S15" t="s">
        <v>32</v>
      </c>
      <c r="T15" t="s">
        <v>33</v>
      </c>
      <c r="U15">
        <v>188</v>
      </c>
      <c r="V15">
        <v>588</v>
      </c>
      <c r="W15">
        <v>164</v>
      </c>
      <c r="X15">
        <v>263</v>
      </c>
      <c r="Y15" s="12">
        <v>43983</v>
      </c>
      <c r="Z15">
        <v>147</v>
      </c>
      <c r="AA15">
        <v>326</v>
      </c>
      <c r="AB15">
        <v>121</v>
      </c>
      <c r="AC15">
        <v>175</v>
      </c>
      <c r="AE15" t="str">
        <f t="shared" si="0"/>
        <v/>
      </c>
    </row>
    <row r="16" spans="1:31" x14ac:dyDescent="0.25">
      <c r="A16" s="55"/>
      <c r="B16" s="12">
        <v>44347</v>
      </c>
      <c r="C16" t="s">
        <v>40</v>
      </c>
      <c r="D16" t="s">
        <v>34</v>
      </c>
      <c r="E16" t="s">
        <v>35</v>
      </c>
      <c r="F16">
        <v>768</v>
      </c>
      <c r="G16">
        <v>1568</v>
      </c>
      <c r="H16">
        <v>694</v>
      </c>
      <c r="I16">
        <v>863</v>
      </c>
      <c r="J16" s="12">
        <v>43983</v>
      </c>
      <c r="K16">
        <v>767</v>
      </c>
      <c r="L16">
        <v>1046</v>
      </c>
      <c r="M16">
        <v>637</v>
      </c>
      <c r="N16">
        <v>645</v>
      </c>
      <c r="Q16" s="12">
        <v>44347</v>
      </c>
      <c r="R16" t="s">
        <v>40</v>
      </c>
      <c r="S16" t="s">
        <v>34</v>
      </c>
      <c r="T16" t="s">
        <v>35</v>
      </c>
      <c r="U16">
        <v>768</v>
      </c>
      <c r="V16">
        <v>1568</v>
      </c>
      <c r="W16">
        <v>694</v>
      </c>
      <c r="X16">
        <v>863</v>
      </c>
      <c r="Y16" s="12">
        <v>43983</v>
      </c>
      <c r="Z16">
        <v>767</v>
      </c>
      <c r="AA16">
        <v>1046</v>
      </c>
      <c r="AB16">
        <v>637</v>
      </c>
      <c r="AC16">
        <v>645</v>
      </c>
      <c r="AE16" t="str">
        <f t="shared" si="0"/>
        <v/>
      </c>
    </row>
    <row r="17" spans="1:31" x14ac:dyDescent="0.25">
      <c r="A17" s="55"/>
      <c r="B17" s="12">
        <v>44347</v>
      </c>
      <c r="C17" t="s">
        <v>40</v>
      </c>
      <c r="D17" t="s">
        <v>36</v>
      </c>
      <c r="E17" t="s">
        <v>37</v>
      </c>
      <c r="F17">
        <v>193</v>
      </c>
      <c r="G17">
        <v>163</v>
      </c>
      <c r="H17">
        <v>167</v>
      </c>
      <c r="I17">
        <v>45</v>
      </c>
      <c r="J17" s="12">
        <v>43983</v>
      </c>
      <c r="K17">
        <v>230</v>
      </c>
      <c r="L17">
        <v>192</v>
      </c>
      <c r="M17">
        <v>190</v>
      </c>
      <c r="N17">
        <v>48</v>
      </c>
      <c r="Q17" s="12">
        <v>44347</v>
      </c>
      <c r="R17" t="s">
        <v>40</v>
      </c>
      <c r="S17" t="s">
        <v>36</v>
      </c>
      <c r="T17" t="s">
        <v>37</v>
      </c>
      <c r="U17">
        <v>193</v>
      </c>
      <c r="V17">
        <v>163</v>
      </c>
      <c r="W17">
        <v>167</v>
      </c>
      <c r="X17">
        <v>45</v>
      </c>
      <c r="Y17" s="12">
        <v>43983</v>
      </c>
      <c r="Z17">
        <v>230</v>
      </c>
      <c r="AA17">
        <v>192</v>
      </c>
      <c r="AB17">
        <v>190</v>
      </c>
      <c r="AC17">
        <v>48</v>
      </c>
      <c r="AE17" t="str">
        <f t="shared" si="0"/>
        <v/>
      </c>
    </row>
    <row r="21" spans="1:31" x14ac:dyDescent="0.25">
      <c r="A21" s="56" t="s">
        <v>48</v>
      </c>
      <c r="B21" t="s">
        <v>42</v>
      </c>
      <c r="C21" t="s">
        <v>43</v>
      </c>
      <c r="D21" t="s">
        <v>44</v>
      </c>
      <c r="E21" t="s">
        <v>45</v>
      </c>
      <c r="F21" t="s">
        <v>24</v>
      </c>
      <c r="G21" t="s">
        <v>46</v>
      </c>
      <c r="H21" t="s">
        <v>47</v>
      </c>
      <c r="J21" t="s">
        <v>42</v>
      </c>
      <c r="K21" t="s">
        <v>43</v>
      </c>
      <c r="L21" t="s">
        <v>44</v>
      </c>
      <c r="M21" t="s">
        <v>45</v>
      </c>
      <c r="N21" t="s">
        <v>24</v>
      </c>
      <c r="O21" t="s">
        <v>46</v>
      </c>
      <c r="P21" t="s">
        <v>47</v>
      </c>
    </row>
    <row r="22" spans="1:31" x14ac:dyDescent="0.25">
      <c r="A22" s="56"/>
      <c r="B22" s="12">
        <v>44347</v>
      </c>
      <c r="C22" t="s">
        <v>29</v>
      </c>
      <c r="D22">
        <v>4364</v>
      </c>
      <c r="E22">
        <v>21024.5</v>
      </c>
      <c r="F22" s="12">
        <v>43983</v>
      </c>
      <c r="G22">
        <v>5356</v>
      </c>
      <c r="H22">
        <v>27223.5</v>
      </c>
      <c r="J22" s="12">
        <v>44347</v>
      </c>
      <c r="K22" t="s">
        <v>29</v>
      </c>
      <c r="L22">
        <v>4364</v>
      </c>
      <c r="M22">
        <v>21024.5</v>
      </c>
      <c r="N22" s="12">
        <v>43983</v>
      </c>
      <c r="O22">
        <v>5356</v>
      </c>
      <c r="P22">
        <v>27223.5</v>
      </c>
    </row>
    <row r="23" spans="1:31" x14ac:dyDescent="0.25">
      <c r="A23" s="56"/>
      <c r="B23" s="12">
        <v>44347</v>
      </c>
      <c r="C23" t="s">
        <v>38</v>
      </c>
      <c r="D23">
        <v>2371</v>
      </c>
      <c r="E23">
        <v>11607</v>
      </c>
      <c r="F23" s="12">
        <v>43983</v>
      </c>
      <c r="G23">
        <v>2440</v>
      </c>
      <c r="H23">
        <v>13613</v>
      </c>
      <c r="J23" s="12">
        <v>44347</v>
      </c>
      <c r="K23" t="s">
        <v>38</v>
      </c>
      <c r="L23">
        <v>2371</v>
      </c>
      <c r="M23">
        <v>11607</v>
      </c>
      <c r="N23" s="12">
        <v>43983</v>
      </c>
      <c r="O23">
        <v>2440</v>
      </c>
      <c r="P23">
        <v>13613</v>
      </c>
    </row>
    <row r="24" spans="1:31" x14ac:dyDescent="0.25">
      <c r="A24" s="56"/>
      <c r="B24" s="12">
        <v>44347</v>
      </c>
      <c r="C24" t="s">
        <v>39</v>
      </c>
      <c r="D24">
        <v>774</v>
      </c>
      <c r="E24">
        <v>3956</v>
      </c>
      <c r="F24" s="12">
        <v>43983</v>
      </c>
      <c r="G24">
        <v>796</v>
      </c>
      <c r="H24">
        <v>4252</v>
      </c>
      <c r="J24" s="12">
        <v>44347</v>
      </c>
      <c r="K24" t="s">
        <v>39</v>
      </c>
      <c r="L24">
        <v>774</v>
      </c>
      <c r="M24">
        <v>3956</v>
      </c>
      <c r="N24" s="12">
        <v>43983</v>
      </c>
      <c r="O24">
        <v>796</v>
      </c>
      <c r="P24">
        <v>4252</v>
      </c>
      <c r="T24" s="13"/>
    </row>
    <row r="25" spans="1:31" x14ac:dyDescent="0.25">
      <c r="A25" s="56"/>
      <c r="B25" s="12">
        <v>44347</v>
      </c>
      <c r="C25" t="s">
        <v>40</v>
      </c>
      <c r="D25">
        <v>7275</v>
      </c>
      <c r="E25">
        <v>36587.5</v>
      </c>
      <c r="F25" s="12">
        <v>43983</v>
      </c>
      <c r="G25">
        <v>8316</v>
      </c>
      <c r="H25">
        <v>45088.5</v>
      </c>
      <c r="J25" s="12">
        <v>44347</v>
      </c>
      <c r="K25" t="s">
        <v>40</v>
      </c>
      <c r="L25">
        <v>7275</v>
      </c>
      <c r="M25">
        <v>36587.5</v>
      </c>
      <c r="N25" s="12">
        <v>43983</v>
      </c>
      <c r="O25">
        <v>8316</v>
      </c>
      <c r="P25">
        <v>45088.5</v>
      </c>
      <c r="T25" s="13"/>
    </row>
    <row r="29" spans="1:31" x14ac:dyDescent="0.25">
      <c r="A29" s="57" t="s">
        <v>49</v>
      </c>
      <c r="B29" t="s">
        <v>42</v>
      </c>
      <c r="C29" t="s">
        <v>17</v>
      </c>
      <c r="D29" t="s">
        <v>129</v>
      </c>
      <c r="E29" t="s">
        <v>130</v>
      </c>
      <c r="F29" t="s">
        <v>24</v>
      </c>
      <c r="G29" t="s">
        <v>131</v>
      </c>
      <c r="J29" t="s">
        <v>42</v>
      </c>
      <c r="K29" t="s">
        <v>17</v>
      </c>
      <c r="L29" t="s">
        <v>129</v>
      </c>
      <c r="M29" t="s">
        <v>130</v>
      </c>
      <c r="N29" t="s">
        <v>24</v>
      </c>
      <c r="O29" t="s">
        <v>131</v>
      </c>
      <c r="Q29" s="13" t="s">
        <v>51</v>
      </c>
    </row>
    <row r="30" spans="1:31" x14ac:dyDescent="0.25">
      <c r="A30" s="57"/>
      <c r="B30" s="12">
        <v>44347</v>
      </c>
      <c r="C30" t="s">
        <v>29</v>
      </c>
      <c r="D30" t="s">
        <v>132</v>
      </c>
      <c r="E30">
        <v>3010059</v>
      </c>
      <c r="F30" s="12">
        <v>43983</v>
      </c>
      <c r="G30">
        <v>3488166</v>
      </c>
      <c r="J30" s="12">
        <v>44347</v>
      </c>
      <c r="K30" t="s">
        <v>29</v>
      </c>
      <c r="L30" t="s">
        <v>132</v>
      </c>
      <c r="M30">
        <v>3010059</v>
      </c>
      <c r="N30" s="12">
        <v>43983</v>
      </c>
      <c r="O30">
        <v>3488166</v>
      </c>
      <c r="Q30" t="str">
        <f>IF(D30=L30, "", "XXXXX")</f>
        <v/>
      </c>
    </row>
    <row r="31" spans="1:31" x14ac:dyDescent="0.25">
      <c r="A31" s="57"/>
      <c r="B31" s="12">
        <v>44347</v>
      </c>
      <c r="C31" t="s">
        <v>29</v>
      </c>
      <c r="D31" t="s">
        <v>133</v>
      </c>
      <c r="E31">
        <v>1410846</v>
      </c>
      <c r="F31" s="12">
        <v>43983</v>
      </c>
      <c r="G31">
        <v>2101024.5</v>
      </c>
      <c r="J31" s="12">
        <v>44347</v>
      </c>
      <c r="K31" t="s">
        <v>29</v>
      </c>
      <c r="L31" t="s">
        <v>133</v>
      </c>
      <c r="M31">
        <v>1410846</v>
      </c>
      <c r="N31" s="12">
        <v>43983</v>
      </c>
      <c r="O31">
        <v>2101024.5</v>
      </c>
      <c r="Q31" t="str">
        <f t="shared" ref="Q31:Q64" si="1">IF(D31=L31, "", "XXXXX")</f>
        <v/>
      </c>
    </row>
    <row r="32" spans="1:31" x14ac:dyDescent="0.25">
      <c r="A32" s="57"/>
      <c r="B32" s="12">
        <v>44347</v>
      </c>
      <c r="C32" t="s">
        <v>29</v>
      </c>
      <c r="D32" t="s">
        <v>134</v>
      </c>
      <c r="E32">
        <v>597028</v>
      </c>
      <c r="F32" s="12">
        <v>43983</v>
      </c>
      <c r="G32">
        <v>660922</v>
      </c>
      <c r="J32" s="12">
        <v>44347</v>
      </c>
      <c r="K32" t="s">
        <v>29</v>
      </c>
      <c r="L32" t="s">
        <v>134</v>
      </c>
      <c r="M32">
        <v>597028</v>
      </c>
      <c r="N32" s="12">
        <v>43983</v>
      </c>
      <c r="O32">
        <v>660922</v>
      </c>
      <c r="Q32" t="str">
        <f t="shared" si="1"/>
        <v/>
      </c>
    </row>
    <row r="33" spans="1:17" x14ac:dyDescent="0.25">
      <c r="A33" s="57"/>
      <c r="B33" s="12">
        <v>44347</v>
      </c>
      <c r="C33" t="s">
        <v>29</v>
      </c>
      <c r="D33" t="s">
        <v>149</v>
      </c>
      <c r="E33">
        <v>-3009</v>
      </c>
      <c r="F33" s="12">
        <v>43983</v>
      </c>
      <c r="G33">
        <v>-14560</v>
      </c>
      <c r="J33" s="12">
        <v>44347</v>
      </c>
      <c r="K33" t="s">
        <v>29</v>
      </c>
      <c r="L33" t="s">
        <v>149</v>
      </c>
      <c r="M33">
        <v>-3009</v>
      </c>
      <c r="N33" s="12">
        <v>43983</v>
      </c>
      <c r="O33">
        <v>-14560</v>
      </c>
      <c r="Q33" t="str">
        <f t="shared" si="1"/>
        <v/>
      </c>
    </row>
    <row r="34" spans="1:17" x14ac:dyDescent="0.25">
      <c r="A34" s="57"/>
      <c r="B34" s="12">
        <v>44347</v>
      </c>
      <c r="C34" t="s">
        <v>29</v>
      </c>
      <c r="D34" t="s">
        <v>135</v>
      </c>
      <c r="E34">
        <v>-96220</v>
      </c>
      <c r="F34" s="12">
        <v>43983</v>
      </c>
      <c r="G34">
        <v>-127067</v>
      </c>
      <c r="J34" s="12">
        <v>44347</v>
      </c>
      <c r="K34" t="s">
        <v>29</v>
      </c>
      <c r="L34" t="s">
        <v>135</v>
      </c>
      <c r="M34">
        <v>-96220</v>
      </c>
      <c r="N34" s="12">
        <v>43983</v>
      </c>
      <c r="O34">
        <v>-127067</v>
      </c>
      <c r="Q34" t="str">
        <f t="shared" si="1"/>
        <v/>
      </c>
    </row>
    <row r="35" spans="1:17" x14ac:dyDescent="0.25">
      <c r="A35" s="57"/>
      <c r="B35" s="12">
        <v>44347</v>
      </c>
      <c r="C35" t="s">
        <v>29</v>
      </c>
      <c r="D35" t="s">
        <v>136</v>
      </c>
      <c r="E35">
        <v>-84861</v>
      </c>
      <c r="F35" s="12">
        <v>43983</v>
      </c>
      <c r="G35">
        <v>-83309</v>
      </c>
      <c r="J35" s="12">
        <v>44347</v>
      </c>
      <c r="K35" t="s">
        <v>29</v>
      </c>
      <c r="L35" t="s">
        <v>136</v>
      </c>
      <c r="M35">
        <v>-84861</v>
      </c>
      <c r="N35" s="12">
        <v>43983</v>
      </c>
      <c r="O35">
        <v>-83309</v>
      </c>
      <c r="Q35" t="str">
        <f t="shared" si="1"/>
        <v/>
      </c>
    </row>
    <row r="36" spans="1:17" x14ac:dyDescent="0.25">
      <c r="A36" s="57"/>
      <c r="B36" s="12">
        <v>44347</v>
      </c>
      <c r="C36" t="s">
        <v>29</v>
      </c>
      <c r="D36" t="s">
        <v>137</v>
      </c>
      <c r="E36">
        <v>342996</v>
      </c>
      <c r="F36" s="12">
        <v>43983</v>
      </c>
      <c r="G36">
        <v>459875</v>
      </c>
      <c r="J36" s="12">
        <v>44347</v>
      </c>
      <c r="K36" t="s">
        <v>29</v>
      </c>
      <c r="L36" t="s">
        <v>137</v>
      </c>
      <c r="M36">
        <v>342996</v>
      </c>
      <c r="N36" s="12">
        <v>43983</v>
      </c>
      <c r="O36">
        <v>459875</v>
      </c>
      <c r="Q36" t="str">
        <f t="shared" si="1"/>
        <v/>
      </c>
    </row>
    <row r="37" spans="1:17" x14ac:dyDescent="0.25">
      <c r="A37" s="57"/>
      <c r="B37" s="12">
        <v>44347</v>
      </c>
      <c r="C37" t="s">
        <v>29</v>
      </c>
      <c r="D37" t="s">
        <v>138</v>
      </c>
      <c r="E37">
        <v>111000</v>
      </c>
      <c r="F37" s="12">
        <v>43983</v>
      </c>
      <c r="G37">
        <v>89664</v>
      </c>
      <c r="J37" s="12">
        <v>44347</v>
      </c>
      <c r="K37" t="s">
        <v>29</v>
      </c>
      <c r="L37" t="s">
        <v>138</v>
      </c>
      <c r="M37">
        <v>111000</v>
      </c>
      <c r="N37" s="12">
        <v>43983</v>
      </c>
      <c r="O37">
        <v>89664</v>
      </c>
      <c r="Q37" t="str">
        <f t="shared" si="1"/>
        <v/>
      </c>
    </row>
    <row r="38" spans="1:17" x14ac:dyDescent="0.25">
      <c r="A38" s="57"/>
      <c r="B38" s="12">
        <v>44347</v>
      </c>
      <c r="C38" t="s">
        <v>29</v>
      </c>
      <c r="D38" t="s">
        <v>139</v>
      </c>
      <c r="E38">
        <v>642787</v>
      </c>
      <c r="F38" s="12">
        <v>43983</v>
      </c>
      <c r="G38">
        <v>1120719.28</v>
      </c>
      <c r="J38" s="12">
        <v>44347</v>
      </c>
      <c r="K38" t="s">
        <v>29</v>
      </c>
      <c r="L38" t="s">
        <v>139</v>
      </c>
      <c r="M38">
        <v>642787</v>
      </c>
      <c r="N38" s="12">
        <v>43983</v>
      </c>
      <c r="O38">
        <v>1120719.28</v>
      </c>
      <c r="Q38" t="str">
        <f t="shared" si="1"/>
        <v/>
      </c>
    </row>
    <row r="39" spans="1:17" x14ac:dyDescent="0.25">
      <c r="A39" s="57"/>
      <c r="B39" s="12">
        <v>44347</v>
      </c>
      <c r="C39" t="s">
        <v>29</v>
      </c>
      <c r="D39" t="s">
        <v>140</v>
      </c>
      <c r="E39">
        <v>509035.28</v>
      </c>
      <c r="F39" s="12">
        <v>43983</v>
      </c>
      <c r="G39">
        <v>113915.5</v>
      </c>
      <c r="J39" s="12">
        <v>44347</v>
      </c>
      <c r="K39" t="s">
        <v>29</v>
      </c>
      <c r="L39" t="s">
        <v>140</v>
      </c>
      <c r="M39">
        <v>509035.28</v>
      </c>
      <c r="N39" s="12">
        <v>43983</v>
      </c>
      <c r="O39">
        <v>113915.5</v>
      </c>
      <c r="Q39" t="str">
        <f t="shared" si="1"/>
        <v/>
      </c>
    </row>
    <row r="40" spans="1:17" x14ac:dyDescent="0.25">
      <c r="A40" s="57"/>
      <c r="B40" s="12">
        <v>44347</v>
      </c>
      <c r="C40" t="s">
        <v>29</v>
      </c>
      <c r="D40" t="s">
        <v>141</v>
      </c>
      <c r="E40">
        <v>115071</v>
      </c>
      <c r="F40" s="12">
        <v>43983</v>
      </c>
      <c r="G40">
        <v>149415</v>
      </c>
      <c r="J40" s="12">
        <v>44347</v>
      </c>
      <c r="K40" t="s">
        <v>29</v>
      </c>
      <c r="L40" t="s">
        <v>141</v>
      </c>
      <c r="M40">
        <v>115071</v>
      </c>
      <c r="N40" s="12">
        <v>43983</v>
      </c>
      <c r="O40">
        <v>149415</v>
      </c>
      <c r="Q40" t="str">
        <f t="shared" si="1"/>
        <v/>
      </c>
    </row>
    <row r="41" spans="1:17" x14ac:dyDescent="0.25">
      <c r="A41" s="57"/>
      <c r="B41" s="12">
        <v>44347</v>
      </c>
      <c r="C41" t="s">
        <v>29</v>
      </c>
      <c r="D41" t="s">
        <v>142</v>
      </c>
      <c r="E41">
        <v>204976.5</v>
      </c>
      <c r="F41" s="12">
        <v>43983</v>
      </c>
      <c r="G41">
        <v>267839</v>
      </c>
      <c r="J41" s="12">
        <v>44347</v>
      </c>
      <c r="K41" t="s">
        <v>29</v>
      </c>
      <c r="L41" t="s">
        <v>142</v>
      </c>
      <c r="M41">
        <v>204976.5</v>
      </c>
      <c r="N41" s="12">
        <v>43983</v>
      </c>
      <c r="O41">
        <v>267839</v>
      </c>
      <c r="Q41" t="str">
        <f t="shared" si="1"/>
        <v/>
      </c>
    </row>
    <row r="42" spans="1:17" x14ac:dyDescent="0.25">
      <c r="A42" s="57"/>
      <c r="B42" s="12">
        <v>44347</v>
      </c>
      <c r="C42" t="s">
        <v>38</v>
      </c>
      <c r="D42" t="s">
        <v>132</v>
      </c>
      <c r="E42">
        <v>1730922</v>
      </c>
      <c r="F42" s="12">
        <v>43983</v>
      </c>
      <c r="G42">
        <v>1960170</v>
      </c>
      <c r="J42" s="12">
        <v>44347</v>
      </c>
      <c r="K42" t="s">
        <v>38</v>
      </c>
      <c r="L42" t="s">
        <v>132</v>
      </c>
      <c r="M42">
        <v>1730922</v>
      </c>
      <c r="N42" s="12">
        <v>43983</v>
      </c>
      <c r="O42">
        <v>1960170</v>
      </c>
      <c r="Q42" t="str">
        <f t="shared" si="1"/>
        <v/>
      </c>
    </row>
    <row r="43" spans="1:17" x14ac:dyDescent="0.25">
      <c r="A43" s="57"/>
      <c r="B43" s="12">
        <v>44347</v>
      </c>
      <c r="C43" t="s">
        <v>38</v>
      </c>
      <c r="D43" t="s">
        <v>133</v>
      </c>
      <c r="E43">
        <v>842334</v>
      </c>
      <c r="F43" s="12">
        <v>43983</v>
      </c>
      <c r="G43">
        <v>955757</v>
      </c>
      <c r="J43" s="12">
        <v>44347</v>
      </c>
      <c r="K43" t="s">
        <v>38</v>
      </c>
      <c r="L43" t="s">
        <v>133</v>
      </c>
      <c r="M43">
        <v>842334</v>
      </c>
      <c r="N43" s="12">
        <v>43983</v>
      </c>
      <c r="O43">
        <v>955757</v>
      </c>
      <c r="Q43" t="str">
        <f t="shared" si="1"/>
        <v/>
      </c>
    </row>
    <row r="44" spans="1:17" x14ac:dyDescent="0.25">
      <c r="A44" s="57"/>
      <c r="B44" s="12">
        <v>44347</v>
      </c>
      <c r="C44" t="s">
        <v>38</v>
      </c>
      <c r="D44" t="s">
        <v>134</v>
      </c>
      <c r="E44">
        <v>652023</v>
      </c>
      <c r="F44" s="12">
        <v>43983</v>
      </c>
      <c r="G44">
        <v>661770</v>
      </c>
      <c r="J44" s="12">
        <v>44347</v>
      </c>
      <c r="K44" t="s">
        <v>38</v>
      </c>
      <c r="L44" t="s">
        <v>134</v>
      </c>
      <c r="M44">
        <v>652023</v>
      </c>
      <c r="N44" s="12">
        <v>43983</v>
      </c>
      <c r="O44">
        <v>661770</v>
      </c>
      <c r="Q44" t="str">
        <f t="shared" si="1"/>
        <v/>
      </c>
    </row>
    <row r="45" spans="1:17" x14ac:dyDescent="0.25">
      <c r="A45" s="57"/>
      <c r="B45" s="12">
        <v>44347</v>
      </c>
      <c r="C45" t="s">
        <v>38</v>
      </c>
      <c r="D45" t="s">
        <v>149</v>
      </c>
      <c r="E45">
        <v>0</v>
      </c>
      <c r="F45" s="12">
        <v>43983</v>
      </c>
      <c r="G45">
        <v>-61656</v>
      </c>
      <c r="J45" s="12">
        <v>44347</v>
      </c>
      <c r="K45" t="s">
        <v>38</v>
      </c>
      <c r="L45" t="s">
        <v>149</v>
      </c>
      <c r="M45">
        <v>0</v>
      </c>
      <c r="N45" s="12">
        <v>43983</v>
      </c>
      <c r="O45">
        <v>-61656</v>
      </c>
      <c r="Q45" t="str">
        <f t="shared" si="1"/>
        <v/>
      </c>
    </row>
    <row r="46" spans="1:17" x14ac:dyDescent="0.25">
      <c r="A46" s="57"/>
      <c r="B46" s="12">
        <v>44347</v>
      </c>
      <c r="C46" t="s">
        <v>38</v>
      </c>
      <c r="D46" t="s">
        <v>135</v>
      </c>
      <c r="Q46" t="str">
        <f t="shared" si="1"/>
        <v>XXXXX</v>
      </c>
    </row>
    <row r="47" spans="1:17" x14ac:dyDescent="0.25">
      <c r="A47" s="57"/>
      <c r="B47" s="12">
        <v>44347</v>
      </c>
      <c r="C47" t="s">
        <v>38</v>
      </c>
      <c r="D47" t="s">
        <v>136</v>
      </c>
      <c r="Q47" t="str">
        <f t="shared" si="1"/>
        <v>XXXXX</v>
      </c>
    </row>
    <row r="48" spans="1:17" x14ac:dyDescent="0.25">
      <c r="A48" s="57"/>
      <c r="B48" s="12">
        <v>44347</v>
      </c>
      <c r="C48" t="s">
        <v>38</v>
      </c>
      <c r="D48" t="s">
        <v>137</v>
      </c>
      <c r="Q48" t="str">
        <f t="shared" si="1"/>
        <v>XXXXX</v>
      </c>
    </row>
    <row r="49" spans="1:17" x14ac:dyDescent="0.25">
      <c r="A49" s="57"/>
      <c r="B49" s="12">
        <v>44347</v>
      </c>
      <c r="C49" t="s">
        <v>38</v>
      </c>
      <c r="D49" t="s">
        <v>138</v>
      </c>
      <c r="E49">
        <v>-33265.14</v>
      </c>
      <c r="F49" s="12">
        <v>43983</v>
      </c>
      <c r="G49">
        <v>-38307</v>
      </c>
      <c r="J49" s="12">
        <v>44347</v>
      </c>
      <c r="K49" t="s">
        <v>38</v>
      </c>
      <c r="L49" t="s">
        <v>138</v>
      </c>
      <c r="M49">
        <v>-33265.14</v>
      </c>
      <c r="N49" s="12">
        <v>43983</v>
      </c>
      <c r="O49">
        <v>-38307</v>
      </c>
      <c r="Q49" t="str">
        <f t="shared" si="1"/>
        <v/>
      </c>
    </row>
    <row r="50" spans="1:17" x14ac:dyDescent="0.25">
      <c r="A50" s="57"/>
      <c r="B50" s="12">
        <v>44347</v>
      </c>
      <c r="C50" t="s">
        <v>38</v>
      </c>
      <c r="D50" t="s">
        <v>139</v>
      </c>
      <c r="E50">
        <v>250824</v>
      </c>
      <c r="F50" s="12">
        <v>43983</v>
      </c>
      <c r="G50">
        <v>587096.5</v>
      </c>
      <c r="J50" s="12">
        <v>44347</v>
      </c>
      <c r="K50" t="s">
        <v>38</v>
      </c>
      <c r="L50" t="s">
        <v>139</v>
      </c>
      <c r="M50">
        <v>250824</v>
      </c>
      <c r="N50" s="12">
        <v>43983</v>
      </c>
      <c r="O50">
        <v>587096.5</v>
      </c>
      <c r="Q50" t="str">
        <f t="shared" si="1"/>
        <v/>
      </c>
    </row>
    <row r="51" spans="1:17" x14ac:dyDescent="0.25">
      <c r="A51" s="57"/>
      <c r="B51" s="12">
        <v>44347</v>
      </c>
      <c r="C51" t="s">
        <v>38</v>
      </c>
      <c r="D51" t="s">
        <v>140</v>
      </c>
      <c r="E51">
        <v>603074</v>
      </c>
      <c r="F51" s="12">
        <v>43983</v>
      </c>
      <c r="G51">
        <v>86118</v>
      </c>
      <c r="J51" s="12">
        <v>44347</v>
      </c>
      <c r="K51" t="s">
        <v>38</v>
      </c>
      <c r="L51" t="s">
        <v>140</v>
      </c>
      <c r="M51">
        <v>603074</v>
      </c>
      <c r="N51" s="12">
        <v>43983</v>
      </c>
      <c r="O51">
        <v>86118</v>
      </c>
      <c r="Q51" t="str">
        <f t="shared" si="1"/>
        <v/>
      </c>
    </row>
    <row r="52" spans="1:17" x14ac:dyDescent="0.25">
      <c r="A52" s="57"/>
      <c r="B52" s="12">
        <v>44347</v>
      </c>
      <c r="C52" t="s">
        <v>38</v>
      </c>
      <c r="D52" t="s">
        <v>141</v>
      </c>
      <c r="E52">
        <v>8892</v>
      </c>
      <c r="F52" s="12">
        <v>43983</v>
      </c>
      <c r="G52">
        <v>14286</v>
      </c>
      <c r="J52" s="12">
        <v>44347</v>
      </c>
      <c r="K52" t="s">
        <v>38</v>
      </c>
      <c r="L52" t="s">
        <v>141</v>
      </c>
      <c r="M52">
        <v>8892</v>
      </c>
      <c r="N52" s="12">
        <v>43983</v>
      </c>
      <c r="O52">
        <v>14286</v>
      </c>
      <c r="Q52" t="str">
        <f t="shared" si="1"/>
        <v/>
      </c>
    </row>
    <row r="53" spans="1:17" x14ac:dyDescent="0.25">
      <c r="A53" s="57"/>
      <c r="B53" s="12">
        <v>44347</v>
      </c>
      <c r="C53" t="s">
        <v>38</v>
      </c>
      <c r="D53" t="s">
        <v>142</v>
      </c>
      <c r="E53">
        <v>123634</v>
      </c>
      <c r="F53" s="12">
        <v>43983</v>
      </c>
      <c r="G53">
        <v>145283</v>
      </c>
      <c r="J53" s="12">
        <v>44347</v>
      </c>
      <c r="K53" t="s">
        <v>38</v>
      </c>
      <c r="L53" t="s">
        <v>142</v>
      </c>
      <c r="M53">
        <v>123634</v>
      </c>
      <c r="N53" s="12">
        <v>43983</v>
      </c>
      <c r="O53">
        <v>145283</v>
      </c>
      <c r="Q53" t="str">
        <f t="shared" si="1"/>
        <v/>
      </c>
    </row>
    <row r="54" spans="1:17" x14ac:dyDescent="0.25">
      <c r="A54" s="57"/>
      <c r="B54" s="12">
        <v>44347</v>
      </c>
      <c r="C54" t="s">
        <v>39</v>
      </c>
      <c r="D54" t="s">
        <v>132</v>
      </c>
      <c r="E54">
        <v>435474</v>
      </c>
      <c r="F54" s="12">
        <v>43983</v>
      </c>
      <c r="G54">
        <v>435073</v>
      </c>
      <c r="J54" s="12">
        <v>44347</v>
      </c>
      <c r="K54" t="s">
        <v>39</v>
      </c>
      <c r="L54" t="s">
        <v>132</v>
      </c>
      <c r="M54">
        <v>435474</v>
      </c>
      <c r="N54" s="12">
        <v>43983</v>
      </c>
      <c r="O54">
        <v>435073</v>
      </c>
      <c r="Q54" t="str">
        <f t="shared" si="1"/>
        <v/>
      </c>
    </row>
    <row r="55" spans="1:17" x14ac:dyDescent="0.25">
      <c r="A55" s="57"/>
      <c r="B55" s="12">
        <v>44347</v>
      </c>
      <c r="C55" t="s">
        <v>39</v>
      </c>
      <c r="D55" t="s">
        <v>133</v>
      </c>
      <c r="E55">
        <v>196272</v>
      </c>
      <c r="F55" s="12">
        <v>43983</v>
      </c>
      <c r="G55">
        <v>190452</v>
      </c>
      <c r="J55" s="12">
        <v>44347</v>
      </c>
      <c r="K55" t="s">
        <v>39</v>
      </c>
      <c r="L55" t="s">
        <v>133</v>
      </c>
      <c r="M55">
        <v>196272</v>
      </c>
      <c r="N55" s="12">
        <v>43983</v>
      </c>
      <c r="O55">
        <v>190452</v>
      </c>
      <c r="Q55" t="str">
        <f t="shared" si="1"/>
        <v/>
      </c>
    </row>
    <row r="56" spans="1:17" x14ac:dyDescent="0.25">
      <c r="A56" s="57"/>
      <c r="B56" s="12">
        <v>44347</v>
      </c>
      <c r="C56" t="s">
        <v>39</v>
      </c>
      <c r="D56" t="s">
        <v>134</v>
      </c>
      <c r="E56">
        <v>662796</v>
      </c>
      <c r="F56" s="12">
        <v>43983</v>
      </c>
      <c r="G56">
        <v>812592</v>
      </c>
      <c r="J56" s="12">
        <v>44347</v>
      </c>
      <c r="K56" t="s">
        <v>39</v>
      </c>
      <c r="L56" t="s">
        <v>134</v>
      </c>
      <c r="M56">
        <v>662796</v>
      </c>
      <c r="N56" s="12">
        <v>43983</v>
      </c>
      <c r="O56">
        <v>812592</v>
      </c>
      <c r="Q56" t="str">
        <f t="shared" si="1"/>
        <v/>
      </c>
    </row>
    <row r="57" spans="1:17" x14ac:dyDescent="0.25">
      <c r="A57" s="57"/>
      <c r="B57" s="12">
        <v>44347</v>
      </c>
      <c r="C57" t="s">
        <v>39</v>
      </c>
      <c r="D57" t="s">
        <v>149</v>
      </c>
      <c r="E57">
        <v>0</v>
      </c>
      <c r="F57" s="12">
        <v>43983</v>
      </c>
      <c r="G57">
        <v>-14112</v>
      </c>
      <c r="J57" s="12">
        <v>44347</v>
      </c>
      <c r="K57" t="s">
        <v>39</v>
      </c>
      <c r="L57" t="s">
        <v>149</v>
      </c>
      <c r="M57">
        <v>0</v>
      </c>
      <c r="N57" s="12">
        <v>43983</v>
      </c>
      <c r="O57">
        <v>-14112</v>
      </c>
      <c r="Q57" t="str">
        <f t="shared" si="1"/>
        <v/>
      </c>
    </row>
    <row r="58" spans="1:17" x14ac:dyDescent="0.25">
      <c r="A58" s="57"/>
      <c r="B58" s="12">
        <v>44347</v>
      </c>
      <c r="C58" t="s">
        <v>39</v>
      </c>
      <c r="D58" t="s">
        <v>135</v>
      </c>
      <c r="E58">
        <v>-18678</v>
      </c>
      <c r="F58" s="12">
        <v>43983</v>
      </c>
      <c r="G58">
        <v>-10754</v>
      </c>
      <c r="J58" s="12">
        <v>44347</v>
      </c>
      <c r="K58" t="s">
        <v>39</v>
      </c>
      <c r="L58" t="s">
        <v>135</v>
      </c>
      <c r="M58">
        <v>-18678</v>
      </c>
      <c r="N58" s="12">
        <v>43983</v>
      </c>
      <c r="O58">
        <v>-10754</v>
      </c>
      <c r="Q58" t="str">
        <f t="shared" si="1"/>
        <v/>
      </c>
    </row>
    <row r="59" spans="1:17" x14ac:dyDescent="0.25">
      <c r="A59" s="57"/>
      <c r="B59" s="12">
        <v>44347</v>
      </c>
      <c r="C59" t="s">
        <v>39</v>
      </c>
      <c r="D59" t="s">
        <v>136</v>
      </c>
      <c r="E59">
        <v>-2694</v>
      </c>
      <c r="F59" s="12">
        <v>43983</v>
      </c>
      <c r="G59">
        <v>-8172</v>
      </c>
      <c r="J59" s="12">
        <v>44347</v>
      </c>
      <c r="K59" t="s">
        <v>39</v>
      </c>
      <c r="L59" t="s">
        <v>136</v>
      </c>
      <c r="M59">
        <v>-2694</v>
      </c>
      <c r="N59" s="12">
        <v>43983</v>
      </c>
      <c r="O59">
        <v>-8172</v>
      </c>
      <c r="Q59" t="str">
        <f t="shared" si="1"/>
        <v/>
      </c>
    </row>
    <row r="60" spans="1:17" x14ac:dyDescent="0.25">
      <c r="A60" s="57"/>
      <c r="B60" s="12">
        <v>44347</v>
      </c>
      <c r="C60" t="s">
        <v>39</v>
      </c>
      <c r="D60" t="s">
        <v>137</v>
      </c>
      <c r="E60">
        <v>99050</v>
      </c>
      <c r="F60" s="12">
        <v>43983</v>
      </c>
      <c r="G60">
        <v>91692</v>
      </c>
      <c r="J60" s="12">
        <v>44347</v>
      </c>
      <c r="K60" t="s">
        <v>39</v>
      </c>
      <c r="L60" t="s">
        <v>137</v>
      </c>
      <c r="M60">
        <v>99050</v>
      </c>
      <c r="N60" s="12">
        <v>43983</v>
      </c>
      <c r="O60">
        <v>91692</v>
      </c>
      <c r="Q60" t="str">
        <f t="shared" si="1"/>
        <v/>
      </c>
    </row>
    <row r="61" spans="1:17" x14ac:dyDescent="0.25">
      <c r="A61" s="57"/>
      <c r="B61" s="12">
        <v>44347</v>
      </c>
      <c r="C61" t="s">
        <v>39</v>
      </c>
      <c r="D61" t="s">
        <v>138</v>
      </c>
      <c r="Q61" t="str">
        <f t="shared" si="1"/>
        <v>XXXXX</v>
      </c>
    </row>
    <row r="62" spans="1:17" x14ac:dyDescent="0.25">
      <c r="A62" s="57"/>
      <c r="B62" s="12">
        <v>44347</v>
      </c>
      <c r="C62" t="s">
        <v>39</v>
      </c>
      <c r="D62" t="s">
        <v>139</v>
      </c>
      <c r="E62">
        <v>17204</v>
      </c>
      <c r="F62" s="12">
        <v>43983</v>
      </c>
      <c r="G62">
        <v>5396</v>
      </c>
      <c r="J62" s="12">
        <v>44347</v>
      </c>
      <c r="K62" t="s">
        <v>39</v>
      </c>
      <c r="L62" t="s">
        <v>139</v>
      </c>
      <c r="M62">
        <v>17204</v>
      </c>
      <c r="N62" s="12">
        <v>43983</v>
      </c>
      <c r="O62">
        <v>5396</v>
      </c>
      <c r="Q62" t="str">
        <f t="shared" si="1"/>
        <v/>
      </c>
    </row>
    <row r="63" spans="1:17" x14ac:dyDescent="0.25">
      <c r="A63" s="57"/>
      <c r="B63" s="12">
        <v>44347</v>
      </c>
      <c r="C63" t="s">
        <v>39</v>
      </c>
      <c r="D63" t="s">
        <v>140</v>
      </c>
      <c r="E63">
        <v>151391</v>
      </c>
      <c r="F63" s="12">
        <v>43983</v>
      </c>
      <c r="G63">
        <v>165937</v>
      </c>
      <c r="J63" s="12">
        <v>44347</v>
      </c>
      <c r="K63" t="s">
        <v>39</v>
      </c>
      <c r="L63" t="s">
        <v>140</v>
      </c>
      <c r="M63">
        <v>151391</v>
      </c>
      <c r="N63" s="12">
        <v>43983</v>
      </c>
      <c r="O63">
        <v>165937</v>
      </c>
      <c r="Q63" t="str">
        <f t="shared" si="1"/>
        <v/>
      </c>
    </row>
    <row r="64" spans="1:17" x14ac:dyDescent="0.25">
      <c r="A64" s="57"/>
      <c r="B64" s="12">
        <v>44347</v>
      </c>
      <c r="C64" t="s">
        <v>39</v>
      </c>
      <c r="D64" t="s">
        <v>142</v>
      </c>
      <c r="E64">
        <v>54951</v>
      </c>
      <c r="F64" s="12">
        <v>43983</v>
      </c>
      <c r="G64">
        <v>61380</v>
      </c>
      <c r="J64" s="12">
        <v>44347</v>
      </c>
      <c r="K64" t="s">
        <v>39</v>
      </c>
      <c r="L64" t="s">
        <v>142</v>
      </c>
      <c r="M64">
        <v>54951</v>
      </c>
      <c r="N64" s="12">
        <v>43983</v>
      </c>
      <c r="O64">
        <v>61380</v>
      </c>
      <c r="Q64" t="str">
        <f t="shared" si="1"/>
        <v/>
      </c>
    </row>
    <row r="65" spans="1:17" x14ac:dyDescent="0.25">
      <c r="A65" s="57"/>
      <c r="B65" s="12"/>
      <c r="F65" s="12"/>
      <c r="Q65" t="str">
        <f t="shared" ref="Q65:Q67" si="2">IF(D65=L65, "", "XXXXX")</f>
        <v/>
      </c>
    </row>
    <row r="66" spans="1:17" x14ac:dyDescent="0.25">
      <c r="J66" s="12"/>
      <c r="N66" s="12"/>
      <c r="Q66" t="str">
        <f t="shared" si="2"/>
        <v/>
      </c>
    </row>
    <row r="67" spans="1:17" x14ac:dyDescent="0.25">
      <c r="J67" s="12"/>
      <c r="N67" s="12"/>
      <c r="Q67" t="str">
        <f t="shared" si="2"/>
        <v/>
      </c>
    </row>
    <row r="68" spans="1:17" x14ac:dyDescent="0.25">
      <c r="B68" t="s">
        <v>42</v>
      </c>
      <c r="C68" t="s">
        <v>17</v>
      </c>
      <c r="D68" t="s">
        <v>143</v>
      </c>
      <c r="E68" t="s">
        <v>24</v>
      </c>
      <c r="F68" t="s">
        <v>144</v>
      </c>
      <c r="J68" t="s">
        <v>42</v>
      </c>
      <c r="K68" t="s">
        <v>17</v>
      </c>
      <c r="L68" t="s">
        <v>143</v>
      </c>
      <c r="M68" t="s">
        <v>24</v>
      </c>
      <c r="N68" t="s">
        <v>144</v>
      </c>
      <c r="Q68" t="str">
        <f>IF(D68=L68, "", "XXXXX")</f>
        <v/>
      </c>
    </row>
    <row r="69" spans="1:17" x14ac:dyDescent="0.25">
      <c r="B69" s="12">
        <v>44347</v>
      </c>
      <c r="C69" t="s">
        <v>39</v>
      </c>
      <c r="D69">
        <v>23250</v>
      </c>
      <c r="E69" s="12">
        <v>43983</v>
      </c>
      <c r="F69">
        <v>26217</v>
      </c>
      <c r="J69" s="12">
        <v>44347</v>
      </c>
      <c r="K69" t="s">
        <v>39</v>
      </c>
      <c r="L69">
        <v>23250</v>
      </c>
      <c r="M69" s="12">
        <v>43983</v>
      </c>
      <c r="N69">
        <v>26217</v>
      </c>
      <c r="Q69" t="str">
        <f>IF(D69=L69, "", "XXXXX")</f>
        <v/>
      </c>
    </row>
  </sheetData>
  <mergeCells count="3">
    <mergeCell ref="A1:A17"/>
    <mergeCell ref="A21:A25"/>
    <mergeCell ref="A29:A65"/>
  </mergeCells>
  <pageMargins left="0.7" right="0.7" top="0.75" bottom="0.75" header="0.3" footer="0.3"/>
  <pageSetup orientation="portrait" verticalDpi="601"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
  <sheetViews>
    <sheetView zoomScale="70" zoomScaleNormal="70" zoomScalePageLayoutView="90" workbookViewId="0">
      <pane xSplit="14" topLeftCell="O1" activePane="topRight" state="frozen"/>
      <selection activeCell="T26" sqref="T26"/>
      <selection pane="topRight" activeCell="E17" sqref="E17:M37"/>
    </sheetView>
  </sheetViews>
  <sheetFormatPr defaultColWidth="8.77734375" defaultRowHeight="14.4" x14ac:dyDescent="0.3"/>
  <cols>
    <col min="1" max="1" width="9.44140625" style="18" customWidth="1"/>
    <col min="2" max="2" width="9.109375" style="18" bestFit="1" customWidth="1"/>
    <col min="3" max="4" width="10.44140625" style="18" bestFit="1" customWidth="1"/>
    <col min="5" max="5" width="17.77734375" style="18" customWidth="1"/>
    <col min="6" max="6" width="12.77734375" style="18" bestFit="1" customWidth="1"/>
    <col min="7" max="7" width="14.44140625" style="18" bestFit="1" customWidth="1"/>
    <col min="8" max="9" width="12" style="18" bestFit="1" customWidth="1"/>
    <col min="10" max="10" width="13.44140625" style="18" bestFit="1" customWidth="1"/>
    <col min="11" max="11" width="12" style="18" bestFit="1" customWidth="1"/>
    <col min="12" max="12" width="12.77734375" style="18" bestFit="1" customWidth="1"/>
    <col min="13" max="13" width="12.44140625" style="18" bestFit="1" customWidth="1"/>
    <col min="14" max="14" width="10.44140625" style="18" bestFit="1" customWidth="1"/>
    <col min="15" max="17" width="10.77734375" style="18" bestFit="1" customWidth="1"/>
    <col min="18" max="18" width="11.21875" style="18" customWidth="1"/>
    <col min="19" max="21" width="10.109375" style="18" bestFit="1" customWidth="1"/>
    <col min="22" max="25" width="9.44140625" style="18" bestFit="1" customWidth="1"/>
    <col min="26" max="29" width="10.44140625" style="18" bestFit="1" customWidth="1"/>
    <col min="30" max="16384" width="8.77734375" style="18"/>
  </cols>
  <sheetData>
    <row r="1" spans="1:30" s="14" customFormat="1" x14ac:dyDescent="0.3">
      <c r="A1" s="14" t="s">
        <v>52</v>
      </c>
      <c r="B1" s="14" t="s">
        <v>53</v>
      </c>
      <c r="C1" s="14" t="s">
        <v>54</v>
      </c>
      <c r="D1" s="14" t="s">
        <v>55</v>
      </c>
      <c r="E1" s="14" t="s">
        <v>56</v>
      </c>
      <c r="F1" s="14" t="s">
        <v>57</v>
      </c>
      <c r="G1" s="14" t="s">
        <v>58</v>
      </c>
      <c r="H1" s="14" t="s">
        <v>59</v>
      </c>
      <c r="I1" s="14" t="s">
        <v>60</v>
      </c>
      <c r="J1" s="14" t="s">
        <v>61</v>
      </c>
      <c r="K1" s="14" t="s">
        <v>62</v>
      </c>
      <c r="L1" s="14" t="s">
        <v>63</v>
      </c>
      <c r="M1" s="14" t="s">
        <v>64</v>
      </c>
      <c r="N1" s="14" t="s">
        <v>65</v>
      </c>
      <c r="O1" s="14" t="s">
        <v>66</v>
      </c>
      <c r="P1" s="14" t="s">
        <v>67</v>
      </c>
      <c r="Q1" s="14" t="s">
        <v>68</v>
      </c>
      <c r="R1" s="14" t="s">
        <v>69</v>
      </c>
      <c r="S1" s="14" t="s">
        <v>70</v>
      </c>
      <c r="T1" s="14" t="s">
        <v>71</v>
      </c>
      <c r="U1" s="14" t="s">
        <v>72</v>
      </c>
      <c r="V1" s="14" t="s">
        <v>73</v>
      </c>
      <c r="W1" s="14" t="s">
        <v>74</v>
      </c>
      <c r="X1" s="14" t="s">
        <v>75</v>
      </c>
      <c r="Y1" s="14" t="s">
        <v>76</v>
      </c>
      <c r="Z1" s="14" t="s">
        <v>77</v>
      </c>
      <c r="AA1" s="14" t="s">
        <v>78</v>
      </c>
      <c r="AB1" s="14" t="s">
        <v>115</v>
      </c>
      <c r="AC1" s="14" t="s">
        <v>116</v>
      </c>
    </row>
    <row r="2" spans="1:30" s="14" customFormat="1" x14ac:dyDescent="0.3">
      <c r="A2" s="15">
        <v>8669</v>
      </c>
      <c r="B2" s="14">
        <v>201102</v>
      </c>
      <c r="C2" s="15">
        <v>1464</v>
      </c>
      <c r="D2" s="15">
        <v>2780</v>
      </c>
      <c r="E2" s="15">
        <v>3407</v>
      </c>
      <c r="F2" s="15">
        <v>3920</v>
      </c>
      <c r="G2" s="15">
        <v>4391</v>
      </c>
      <c r="H2" s="15">
        <v>4976</v>
      </c>
      <c r="I2" s="15">
        <v>5550</v>
      </c>
      <c r="J2" s="15">
        <v>5856</v>
      </c>
      <c r="K2" s="15">
        <v>6137</v>
      </c>
      <c r="L2" s="15">
        <v>6402</v>
      </c>
      <c r="M2" s="15">
        <v>6555</v>
      </c>
      <c r="N2" s="15">
        <v>6925</v>
      </c>
      <c r="O2" s="15">
        <v>6744</v>
      </c>
      <c r="P2" s="15">
        <v>6875</v>
      </c>
      <c r="Q2" s="15">
        <v>7869</v>
      </c>
      <c r="R2" s="15">
        <v>8355</v>
      </c>
      <c r="S2" s="15">
        <v>8417</v>
      </c>
      <c r="T2" s="15">
        <v>8416</v>
      </c>
      <c r="U2" s="15">
        <v>8435</v>
      </c>
      <c r="V2" s="15">
        <v>8462</v>
      </c>
      <c r="W2" s="15">
        <v>8476</v>
      </c>
      <c r="X2" s="15">
        <v>8485</v>
      </c>
      <c r="Y2" s="15">
        <v>8557</v>
      </c>
      <c r="Z2" s="15">
        <v>8632</v>
      </c>
      <c r="AA2" s="15">
        <v>8635</v>
      </c>
      <c r="AB2" s="14">
        <v>8661</v>
      </c>
      <c r="AC2" s="14">
        <v>8663</v>
      </c>
      <c r="AD2" s="15">
        <v>8673</v>
      </c>
    </row>
    <row r="3" spans="1:30" s="14" customFormat="1" x14ac:dyDescent="0.3">
      <c r="A3" s="15">
        <v>8042</v>
      </c>
      <c r="B3" s="14">
        <v>201202</v>
      </c>
      <c r="C3" s="15"/>
      <c r="D3" s="15"/>
      <c r="E3" s="15">
        <v>3350</v>
      </c>
      <c r="F3" s="15">
        <v>3681</v>
      </c>
      <c r="G3" s="15">
        <v>4184</v>
      </c>
      <c r="H3" s="15">
        <v>4725</v>
      </c>
      <c r="I3" s="15">
        <v>5290</v>
      </c>
      <c r="J3" s="15">
        <v>5650</v>
      </c>
      <c r="K3" s="15">
        <v>5921</v>
      </c>
      <c r="L3" s="15">
        <v>6175</v>
      </c>
      <c r="M3" s="15">
        <v>6417</v>
      </c>
      <c r="N3" s="15">
        <v>6611</v>
      </c>
      <c r="O3" s="15">
        <v>7561</v>
      </c>
      <c r="P3" s="15">
        <v>7453</v>
      </c>
      <c r="Q3" s="15">
        <v>7659</v>
      </c>
      <c r="R3" s="15">
        <v>7868</v>
      </c>
      <c r="S3" s="15">
        <v>7905</v>
      </c>
      <c r="T3" s="15">
        <v>7938</v>
      </c>
      <c r="U3" s="15">
        <v>7912</v>
      </c>
      <c r="V3" s="15">
        <v>7924</v>
      </c>
      <c r="W3" s="15">
        <v>7969</v>
      </c>
      <c r="X3" s="15">
        <v>7992</v>
      </c>
      <c r="Y3" s="15">
        <v>8019</v>
      </c>
      <c r="Z3" s="15">
        <v>8031</v>
      </c>
      <c r="AA3" s="15">
        <v>8031</v>
      </c>
      <c r="AB3" s="14">
        <v>8042</v>
      </c>
      <c r="AC3" s="14">
        <v>8040</v>
      </c>
    </row>
    <row r="4" spans="1:30" s="14" customFormat="1" x14ac:dyDescent="0.3">
      <c r="A4" s="15">
        <v>7711</v>
      </c>
      <c r="B4" s="14">
        <v>201302</v>
      </c>
      <c r="C4" s="15"/>
      <c r="D4" s="15"/>
      <c r="E4" s="15"/>
      <c r="F4" s="15">
        <v>3490</v>
      </c>
      <c r="G4" s="15">
        <v>4007</v>
      </c>
      <c r="H4" s="15">
        <v>4447</v>
      </c>
      <c r="I4" s="15">
        <v>4982</v>
      </c>
      <c r="J4" s="15">
        <v>5355</v>
      </c>
      <c r="K4" s="15">
        <v>5667</v>
      </c>
      <c r="L4" s="15">
        <v>5959</v>
      </c>
      <c r="M4" s="15">
        <v>6214</v>
      </c>
      <c r="N4" s="15">
        <v>6405</v>
      </c>
      <c r="O4" s="15">
        <v>7259</v>
      </c>
      <c r="P4" s="15">
        <v>7159</v>
      </c>
      <c r="Q4" s="15">
        <v>7466</v>
      </c>
      <c r="R4" s="15">
        <v>7564</v>
      </c>
      <c r="S4" s="15">
        <v>7607</v>
      </c>
      <c r="T4" s="15">
        <v>7630</v>
      </c>
      <c r="U4" s="15">
        <v>7615</v>
      </c>
      <c r="V4" s="15">
        <v>7599</v>
      </c>
      <c r="W4" s="15">
        <v>7656</v>
      </c>
      <c r="X4" s="15">
        <v>7669</v>
      </c>
      <c r="Y4" s="15">
        <v>7680</v>
      </c>
      <c r="Z4" s="15">
        <v>7698</v>
      </c>
      <c r="AA4" s="15">
        <v>7699</v>
      </c>
      <c r="AB4" s="14">
        <v>7714</v>
      </c>
      <c r="AC4" s="14">
        <v>7713</v>
      </c>
    </row>
    <row r="5" spans="1:30" s="14" customFormat="1" x14ac:dyDescent="0.3">
      <c r="A5" s="14">
        <v>7678</v>
      </c>
      <c r="B5" s="14">
        <v>201402</v>
      </c>
      <c r="C5" s="15"/>
      <c r="D5" s="15">
        <v>2311</v>
      </c>
      <c r="E5" s="15">
        <v>2905</v>
      </c>
      <c r="F5" s="15">
        <v>3250</v>
      </c>
      <c r="G5" s="16">
        <v>3773</v>
      </c>
      <c r="H5" s="15">
        <v>4261</v>
      </c>
      <c r="I5" s="14">
        <v>4674</v>
      </c>
      <c r="J5" s="14">
        <v>5133</v>
      </c>
      <c r="K5" s="14">
        <v>5455</v>
      </c>
      <c r="L5" s="14">
        <v>5727</v>
      </c>
      <c r="M5" s="14">
        <v>5946</v>
      </c>
      <c r="N5" s="14">
        <v>6109</v>
      </c>
      <c r="O5" s="16">
        <v>6768</v>
      </c>
      <c r="P5" s="14">
        <v>6706</v>
      </c>
      <c r="Q5" s="16">
        <v>7132</v>
      </c>
      <c r="R5" s="14">
        <v>7453</v>
      </c>
      <c r="S5" s="14">
        <v>7543</v>
      </c>
      <c r="T5" s="14">
        <v>7568</v>
      </c>
      <c r="U5" s="14">
        <v>7564</v>
      </c>
      <c r="V5" s="16">
        <v>7553</v>
      </c>
      <c r="W5" s="14">
        <v>7592</v>
      </c>
      <c r="X5" s="14">
        <v>7617</v>
      </c>
      <c r="Y5" s="16">
        <v>7621</v>
      </c>
      <c r="Z5" s="16">
        <v>7661</v>
      </c>
      <c r="AA5" s="14">
        <v>7677</v>
      </c>
      <c r="AB5" s="14">
        <v>7676</v>
      </c>
      <c r="AC5" s="14">
        <v>7679</v>
      </c>
      <c r="AD5" s="14">
        <v>7678</v>
      </c>
    </row>
    <row r="6" spans="1:30" s="14" customFormat="1" x14ac:dyDescent="0.3">
      <c r="A6" s="14">
        <v>7330</v>
      </c>
      <c r="B6" s="14">
        <v>201502</v>
      </c>
      <c r="C6" s="15"/>
      <c r="D6" s="15"/>
      <c r="E6" s="15"/>
      <c r="F6" s="15">
        <v>2914</v>
      </c>
      <c r="G6" s="16">
        <v>3415</v>
      </c>
      <c r="H6" s="15">
        <v>4051</v>
      </c>
      <c r="I6" s="14">
        <v>4477</v>
      </c>
      <c r="J6" s="14">
        <v>4945</v>
      </c>
      <c r="K6" s="14">
        <v>5737</v>
      </c>
      <c r="L6" s="14">
        <v>6161</v>
      </c>
      <c r="M6" s="14">
        <v>6558</v>
      </c>
      <c r="N6" s="14">
        <v>6813</v>
      </c>
      <c r="O6" s="16">
        <v>6880</v>
      </c>
      <c r="P6" s="14">
        <v>6795</v>
      </c>
      <c r="Q6" s="16">
        <v>7013</v>
      </c>
      <c r="R6" s="14">
        <v>7092</v>
      </c>
      <c r="S6" s="14">
        <v>7186</v>
      </c>
      <c r="T6" s="14">
        <v>7207</v>
      </c>
      <c r="U6" s="14">
        <v>7207</v>
      </c>
      <c r="V6" s="16">
        <v>7192</v>
      </c>
      <c r="W6" s="14">
        <v>7257</v>
      </c>
      <c r="X6" s="14">
        <v>7292</v>
      </c>
      <c r="Y6" s="16">
        <v>7297</v>
      </c>
      <c r="Z6" s="16">
        <v>7323</v>
      </c>
      <c r="AA6" s="14">
        <v>7230</v>
      </c>
      <c r="AB6" s="14">
        <v>7324</v>
      </c>
      <c r="AC6" s="14">
        <v>7324</v>
      </c>
    </row>
    <row r="7" spans="1:30" s="14" customFormat="1" x14ac:dyDescent="0.3">
      <c r="A7" s="14">
        <v>7135</v>
      </c>
      <c r="B7" s="14">
        <v>201602</v>
      </c>
      <c r="C7" s="15">
        <v>1006</v>
      </c>
      <c r="D7" s="15">
        <v>2087</v>
      </c>
      <c r="E7" s="15">
        <v>2695</v>
      </c>
      <c r="F7" s="15">
        <v>3067</v>
      </c>
      <c r="G7" s="16">
        <v>3351</v>
      </c>
      <c r="H7" s="15">
        <v>3772</v>
      </c>
      <c r="I7" s="14">
        <v>4163</v>
      </c>
      <c r="J7" s="14">
        <v>5002</v>
      </c>
      <c r="K7" s="14">
        <v>5446</v>
      </c>
      <c r="L7" s="14">
        <v>5788</v>
      </c>
      <c r="M7" s="14">
        <v>6107</v>
      </c>
      <c r="N7" s="14">
        <v>6423</v>
      </c>
      <c r="O7" s="16">
        <v>6562</v>
      </c>
      <c r="P7" s="14">
        <v>6457</v>
      </c>
      <c r="Q7" s="16">
        <v>6605</v>
      </c>
      <c r="R7" s="14">
        <v>6861</v>
      </c>
      <c r="S7" s="14">
        <v>6929</v>
      </c>
      <c r="T7">
        <v>6998</v>
      </c>
      <c r="U7">
        <v>7000</v>
      </c>
      <c r="V7">
        <v>7005</v>
      </c>
      <c r="W7">
        <v>7009</v>
      </c>
      <c r="X7">
        <v>7099</v>
      </c>
      <c r="Y7">
        <v>7104</v>
      </c>
      <c r="Z7">
        <v>7119</v>
      </c>
      <c r="AA7">
        <v>7126</v>
      </c>
      <c r="AB7">
        <v>7127</v>
      </c>
      <c r="AC7">
        <v>7135</v>
      </c>
    </row>
    <row r="8" spans="1:30" s="14" customFormat="1" x14ac:dyDescent="0.3">
      <c r="A8" s="14">
        <v>7070</v>
      </c>
      <c r="B8" s="14">
        <v>201702</v>
      </c>
      <c r="C8" s="15"/>
      <c r="D8" s="15"/>
      <c r="E8" s="15">
        <v>2212</v>
      </c>
      <c r="F8">
        <v>2600</v>
      </c>
      <c r="G8">
        <v>2868</v>
      </c>
      <c r="H8">
        <v>3248</v>
      </c>
      <c r="I8">
        <v>3630</v>
      </c>
      <c r="J8">
        <v>4035</v>
      </c>
      <c r="K8">
        <v>4419</v>
      </c>
      <c r="L8">
        <v>5036</v>
      </c>
      <c r="M8">
        <v>5480</v>
      </c>
      <c r="N8">
        <v>5861</v>
      </c>
      <c r="O8">
        <v>6194</v>
      </c>
      <c r="P8">
        <v>6332</v>
      </c>
      <c r="Q8">
        <v>6475</v>
      </c>
      <c r="R8">
        <v>6644</v>
      </c>
      <c r="S8">
        <v>6706</v>
      </c>
      <c r="T8">
        <v>6765</v>
      </c>
      <c r="U8">
        <v>6795</v>
      </c>
      <c r="V8">
        <v>6813</v>
      </c>
      <c r="W8">
        <v>6859</v>
      </c>
      <c r="X8">
        <v>6900</v>
      </c>
      <c r="Y8">
        <v>6919</v>
      </c>
      <c r="Z8">
        <v>7007</v>
      </c>
      <c r="AA8">
        <v>7056</v>
      </c>
      <c r="AB8">
        <v>7068</v>
      </c>
      <c r="AC8">
        <v>7069</v>
      </c>
    </row>
    <row r="9" spans="1:30" s="14" customFormat="1" x14ac:dyDescent="0.3">
      <c r="A9" s="14">
        <v>6820</v>
      </c>
      <c r="B9" s="14">
        <v>201802</v>
      </c>
      <c r="C9" s="15"/>
      <c r="D9" s="15"/>
      <c r="E9" s="15"/>
      <c r="F9" s="47"/>
      <c r="G9" s="16">
        <v>2624</v>
      </c>
      <c r="H9">
        <v>2968</v>
      </c>
      <c r="I9">
        <v>3330</v>
      </c>
      <c r="J9">
        <v>3720</v>
      </c>
      <c r="K9">
        <v>3991</v>
      </c>
      <c r="L9">
        <v>4691</v>
      </c>
      <c r="M9">
        <v>5027</v>
      </c>
      <c r="N9">
        <v>5448</v>
      </c>
      <c r="O9">
        <v>5817</v>
      </c>
      <c r="P9">
        <v>5960</v>
      </c>
      <c r="Q9">
        <v>6143</v>
      </c>
      <c r="R9">
        <v>6289</v>
      </c>
      <c r="S9">
        <v>6369</v>
      </c>
      <c r="T9">
        <v>6452</v>
      </c>
      <c r="U9">
        <v>6479</v>
      </c>
      <c r="V9">
        <v>6478</v>
      </c>
      <c r="W9">
        <v>6481</v>
      </c>
      <c r="X9">
        <v>6504</v>
      </c>
      <c r="Y9">
        <v>6579</v>
      </c>
      <c r="Z9">
        <v>6648</v>
      </c>
      <c r="AA9">
        <v>6711</v>
      </c>
      <c r="AB9">
        <v>6751</v>
      </c>
      <c r="AC9">
        <v>6800</v>
      </c>
    </row>
    <row r="10" spans="1:30" s="14" customFormat="1" x14ac:dyDescent="0.3">
      <c r="A10" s="14">
        <v>6391</v>
      </c>
      <c r="B10" s="14">
        <v>201902</v>
      </c>
      <c r="C10" s="15"/>
      <c r="D10" s="15"/>
      <c r="E10" s="15"/>
      <c r="F10">
        <v>2104</v>
      </c>
      <c r="G10">
        <v>2357</v>
      </c>
      <c r="H10">
        <v>2697</v>
      </c>
      <c r="I10">
        <v>3096</v>
      </c>
      <c r="J10">
        <v>3596</v>
      </c>
      <c r="K10">
        <v>4028</v>
      </c>
      <c r="L10">
        <v>4353</v>
      </c>
      <c r="M10">
        <v>4727</v>
      </c>
      <c r="N10">
        <v>5033</v>
      </c>
      <c r="O10">
        <v>5277</v>
      </c>
      <c r="P10">
        <v>5389</v>
      </c>
      <c r="Q10">
        <v>5397</v>
      </c>
      <c r="R10">
        <v>5750</v>
      </c>
      <c r="S10">
        <v>5818</v>
      </c>
      <c r="T10">
        <v>5979</v>
      </c>
      <c r="U10">
        <v>6058</v>
      </c>
      <c r="V10">
        <v>6094</v>
      </c>
      <c r="W10">
        <v>6077</v>
      </c>
      <c r="X10">
        <v>6121</v>
      </c>
      <c r="Y10">
        <v>6150</v>
      </c>
      <c r="Z10">
        <v>6185</v>
      </c>
      <c r="AA10">
        <v>6244</v>
      </c>
      <c r="AB10">
        <v>6335</v>
      </c>
      <c r="AC10">
        <v>6352</v>
      </c>
    </row>
    <row r="11" spans="1:30" s="14" customFormat="1" x14ac:dyDescent="0.3">
      <c r="A11" s="14">
        <v>6009</v>
      </c>
      <c r="B11" s="14">
        <v>202002</v>
      </c>
      <c r="C11" s="15"/>
      <c r="D11" s="15"/>
      <c r="E11" s="15"/>
      <c r="F11"/>
      <c r="G11" s="16"/>
      <c r="H11"/>
      <c r="I11"/>
      <c r="J11"/>
      <c r="K11"/>
      <c r="L11"/>
      <c r="M11"/>
      <c r="N11">
        <v>3712</v>
      </c>
      <c r="O11">
        <v>4055</v>
      </c>
      <c r="P11">
        <v>5076</v>
      </c>
      <c r="Q11">
        <v>5243</v>
      </c>
      <c r="R11">
        <v>5356</v>
      </c>
      <c r="S11">
        <v>5470</v>
      </c>
      <c r="T11">
        <v>5560</v>
      </c>
      <c r="U11">
        <v>5575</v>
      </c>
      <c r="V11">
        <v>5663</v>
      </c>
      <c r="W11">
        <v>5675</v>
      </c>
      <c r="X11">
        <v>5701</v>
      </c>
      <c r="Y11">
        <v>5724</v>
      </c>
      <c r="Z11">
        <v>5825</v>
      </c>
      <c r="AA11">
        <v>5864</v>
      </c>
      <c r="AB11">
        <v>5960</v>
      </c>
      <c r="AC11">
        <v>5973</v>
      </c>
    </row>
    <row r="12" spans="1:30" s="14" customFormat="1" x14ac:dyDescent="0.3">
      <c r="B12" s="14">
        <v>202102</v>
      </c>
      <c r="C12" s="15"/>
      <c r="D12">
        <v>746</v>
      </c>
      <c r="E12">
        <v>960</v>
      </c>
      <c r="F12">
        <v>1178</v>
      </c>
      <c r="G12">
        <v>1385</v>
      </c>
      <c r="H12">
        <v>1640</v>
      </c>
      <c r="I12">
        <v>1972</v>
      </c>
      <c r="J12">
        <v>2262</v>
      </c>
      <c r="K12">
        <v>2605</v>
      </c>
      <c r="L12">
        <v>2821</v>
      </c>
      <c r="M12">
        <v>3051</v>
      </c>
      <c r="N12">
        <v>3300</v>
      </c>
      <c r="O12">
        <v>3523</v>
      </c>
      <c r="P12">
        <v>3672</v>
      </c>
      <c r="Q12">
        <v>4060</v>
      </c>
      <c r="R12">
        <v>4364</v>
      </c>
      <c r="S12"/>
      <c r="T12"/>
      <c r="U12"/>
      <c r="V12"/>
      <c r="W12"/>
      <c r="X12"/>
      <c r="Y12"/>
      <c r="Z12"/>
      <c r="AA12"/>
      <c r="AB12"/>
      <c r="AC12"/>
    </row>
    <row r="13" spans="1:30" s="14" customFormat="1" x14ac:dyDescent="0.3">
      <c r="B13" s="34" t="s">
        <v>79</v>
      </c>
      <c r="C13" s="45">
        <v>44242</v>
      </c>
      <c r="D13" s="45">
        <v>44249</v>
      </c>
      <c r="E13" s="45">
        <v>44256</v>
      </c>
      <c r="F13" s="45">
        <v>44263</v>
      </c>
      <c r="G13" s="45">
        <v>44270</v>
      </c>
      <c r="H13" s="45">
        <v>44277</v>
      </c>
      <c r="I13" s="45">
        <v>44284</v>
      </c>
      <c r="J13" s="45">
        <v>44291</v>
      </c>
      <c r="K13" s="45">
        <v>44298</v>
      </c>
      <c r="L13" s="45">
        <v>44305</v>
      </c>
      <c r="M13" s="45">
        <v>44312</v>
      </c>
      <c r="N13" s="45">
        <v>44319</v>
      </c>
      <c r="O13" s="45">
        <v>44326</v>
      </c>
      <c r="P13" s="45">
        <v>44333</v>
      </c>
      <c r="Q13" s="45">
        <v>44340</v>
      </c>
      <c r="R13" s="45">
        <v>44347</v>
      </c>
      <c r="S13" s="45">
        <v>44354</v>
      </c>
      <c r="T13" s="45">
        <v>44361</v>
      </c>
      <c r="U13" s="45">
        <v>44368</v>
      </c>
      <c r="V13" s="45">
        <v>44375</v>
      </c>
      <c r="W13" s="45">
        <v>44382</v>
      </c>
      <c r="X13" s="45">
        <v>44389</v>
      </c>
      <c r="Y13" s="45">
        <v>44396</v>
      </c>
      <c r="Z13" s="45">
        <v>44403</v>
      </c>
      <c r="AA13" s="45">
        <v>44410</v>
      </c>
      <c r="AB13" s="45">
        <v>44417</v>
      </c>
      <c r="AC13" s="45">
        <v>44424</v>
      </c>
      <c r="AD13" s="45"/>
    </row>
    <row r="14" spans="1:30" s="14" customFormat="1" x14ac:dyDescent="0.3">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row>
    <row r="15" spans="1:30" s="14" customFormat="1" x14ac:dyDescent="0.3"/>
    <row r="17" spans="5:13" x14ac:dyDescent="0.3">
      <c r="E17" t="s">
        <v>80</v>
      </c>
      <c r="F17"/>
      <c r="G17"/>
      <c r="H17"/>
      <c r="I17"/>
      <c r="J17"/>
      <c r="K17"/>
      <c r="L17"/>
      <c r="M17"/>
    </row>
    <row r="18" spans="5:13" ht="15" thickBot="1" x14ac:dyDescent="0.35">
      <c r="E18"/>
      <c r="F18"/>
      <c r="G18"/>
      <c r="H18"/>
      <c r="I18"/>
      <c r="J18"/>
      <c r="K18"/>
      <c r="L18"/>
      <c r="M18"/>
    </row>
    <row r="19" spans="5:13" x14ac:dyDescent="0.3">
      <c r="E19" s="19" t="s">
        <v>81</v>
      </c>
      <c r="F19" s="19"/>
      <c r="G19"/>
      <c r="H19"/>
      <c r="I19"/>
      <c r="J19"/>
      <c r="K19"/>
      <c r="L19"/>
      <c r="M19"/>
    </row>
    <row r="20" spans="5:13" x14ac:dyDescent="0.3">
      <c r="E20" s="20" t="s">
        <v>82</v>
      </c>
      <c r="F20" s="20">
        <v>0.99256447522836666</v>
      </c>
      <c r="G20"/>
      <c r="H20"/>
      <c r="I20"/>
      <c r="J20"/>
      <c r="K20"/>
      <c r="L20"/>
      <c r="M20"/>
    </row>
    <row r="21" spans="5:13" x14ac:dyDescent="0.3">
      <c r="E21" s="20" t="s">
        <v>83</v>
      </c>
      <c r="F21" s="20">
        <v>0.98518423748536288</v>
      </c>
      <c r="G21"/>
      <c r="H21"/>
      <c r="I21"/>
      <c r="J21"/>
      <c r="K21"/>
      <c r="L21"/>
      <c r="M21"/>
    </row>
    <row r="22" spans="5:13" x14ac:dyDescent="0.3">
      <c r="E22" s="20" t="s">
        <v>84</v>
      </c>
      <c r="F22" s="20">
        <v>0.98333226717103317</v>
      </c>
      <c r="G22"/>
      <c r="H22"/>
      <c r="I22"/>
      <c r="J22"/>
      <c r="K22"/>
      <c r="L22"/>
      <c r="M22"/>
    </row>
    <row r="23" spans="5:13" x14ac:dyDescent="0.3">
      <c r="E23" s="20" t="s">
        <v>85</v>
      </c>
      <c r="F23" s="20">
        <v>101.28040299376075</v>
      </c>
      <c r="G23"/>
      <c r="H23"/>
      <c r="I23"/>
      <c r="J23"/>
      <c r="K23"/>
      <c r="L23"/>
      <c r="M23"/>
    </row>
    <row r="24" spans="5:13" ht="15" thickBot="1" x14ac:dyDescent="0.35">
      <c r="E24" s="21" t="s">
        <v>86</v>
      </c>
      <c r="F24" s="21">
        <v>10</v>
      </c>
      <c r="G24"/>
      <c r="H24"/>
      <c r="I24"/>
      <c r="J24"/>
      <c r="K24"/>
      <c r="L24"/>
      <c r="M24"/>
    </row>
    <row r="25" spans="5:13" x14ac:dyDescent="0.3">
      <c r="E25"/>
      <c r="F25"/>
      <c r="G25"/>
      <c r="H25"/>
      <c r="I25"/>
      <c r="J25"/>
      <c r="K25"/>
      <c r="L25"/>
      <c r="M25"/>
    </row>
    <row r="26" spans="5:13" ht="15" thickBot="1" x14ac:dyDescent="0.35">
      <c r="E26" t="s">
        <v>87</v>
      </c>
      <c r="F26"/>
      <c r="G26"/>
      <c r="H26"/>
      <c r="I26"/>
      <c r="J26"/>
      <c r="K26"/>
      <c r="L26"/>
      <c r="M26"/>
    </row>
    <row r="27" spans="5:13" x14ac:dyDescent="0.3">
      <c r="E27" s="22"/>
      <c r="F27" s="22" t="s">
        <v>88</v>
      </c>
      <c r="G27" s="22" t="s">
        <v>89</v>
      </c>
      <c r="H27" s="22" t="s">
        <v>90</v>
      </c>
      <c r="I27" s="22" t="s">
        <v>91</v>
      </c>
      <c r="J27" s="22" t="s">
        <v>92</v>
      </c>
      <c r="K27"/>
      <c r="L27"/>
      <c r="M27"/>
    </row>
    <row r="28" spans="5:13" x14ac:dyDescent="0.3">
      <c r="E28" s="20" t="s">
        <v>93</v>
      </c>
      <c r="F28" s="20">
        <v>1</v>
      </c>
      <c r="G28" s="20">
        <v>5456752.7397553716</v>
      </c>
      <c r="H28" s="20">
        <v>5456752.7397553716</v>
      </c>
      <c r="I28" s="20">
        <v>531.96545855108388</v>
      </c>
      <c r="J28" s="20">
        <v>1.3253916095431204E-8</v>
      </c>
      <c r="K28"/>
      <c r="L28"/>
      <c r="M28"/>
    </row>
    <row r="29" spans="5:13" x14ac:dyDescent="0.3">
      <c r="E29" s="20" t="s">
        <v>94</v>
      </c>
      <c r="F29" s="20">
        <v>8</v>
      </c>
      <c r="G29" s="20">
        <v>82061.760244628633</v>
      </c>
      <c r="H29" s="20">
        <v>10257.720030578579</v>
      </c>
      <c r="I29" s="20"/>
      <c r="J29" s="20"/>
      <c r="K29"/>
      <c r="L29"/>
      <c r="M29"/>
    </row>
    <row r="30" spans="5:13" ht="15" thickBot="1" x14ac:dyDescent="0.35">
      <c r="E30" s="21" t="s">
        <v>95</v>
      </c>
      <c r="F30" s="21">
        <v>9</v>
      </c>
      <c r="G30" s="21">
        <v>5538814.5</v>
      </c>
      <c r="H30" s="21"/>
      <c r="I30" s="21"/>
      <c r="J30" s="21"/>
      <c r="K30"/>
      <c r="L30"/>
      <c r="M30"/>
    </row>
    <row r="31" spans="5:13" ht="15" thickBot="1" x14ac:dyDescent="0.35">
      <c r="E31"/>
      <c r="F31"/>
      <c r="G31"/>
      <c r="H31"/>
      <c r="I31"/>
      <c r="J31"/>
      <c r="K31"/>
      <c r="L31"/>
      <c r="M31"/>
    </row>
    <row r="32" spans="5:13" x14ac:dyDescent="0.3">
      <c r="E32" s="22"/>
      <c r="F32" s="22" t="s">
        <v>96</v>
      </c>
      <c r="G32" s="22" t="s">
        <v>85</v>
      </c>
      <c r="H32" s="22" t="s">
        <v>97</v>
      </c>
      <c r="I32" s="22" t="s">
        <v>98</v>
      </c>
      <c r="J32" s="22" t="s">
        <v>99</v>
      </c>
      <c r="K32" s="22" t="s">
        <v>100</v>
      </c>
      <c r="L32" s="22" t="s">
        <v>101</v>
      </c>
      <c r="M32" s="22" t="s">
        <v>102</v>
      </c>
    </row>
    <row r="33" spans="1:13" x14ac:dyDescent="0.3">
      <c r="E33" s="20" t="s">
        <v>103</v>
      </c>
      <c r="F33" s="20">
        <v>1560.1975631784526</v>
      </c>
      <c r="G33" s="20">
        <v>250.28903255305349</v>
      </c>
      <c r="H33" s="20">
        <v>6.2335834185932191</v>
      </c>
      <c r="I33" s="20">
        <v>2.501236046763893E-4</v>
      </c>
      <c r="J33" s="20">
        <v>983.03001911486081</v>
      </c>
      <c r="K33" s="20">
        <v>2137.3651072420444</v>
      </c>
      <c r="L33" s="20">
        <v>983.03001911486081</v>
      </c>
      <c r="M33" s="20">
        <v>2137.3651072420444</v>
      </c>
    </row>
    <row r="34" spans="1:13" ht="15" thickBot="1" x14ac:dyDescent="0.35">
      <c r="E34" s="21" t="s">
        <v>69</v>
      </c>
      <c r="F34" s="21">
        <v>0.82697342801328111</v>
      </c>
      <c r="G34" s="21">
        <v>3.585500920567955E-2</v>
      </c>
      <c r="H34" s="21">
        <v>23.064376396319147</v>
      </c>
      <c r="I34" s="21">
        <v>1.3253916095431204E-8</v>
      </c>
      <c r="J34" s="21">
        <v>0.74429162851720054</v>
      </c>
      <c r="K34" s="21">
        <v>0.90965522750936167</v>
      </c>
      <c r="L34" s="21">
        <v>0.74429162851720054</v>
      </c>
      <c r="M34" s="21">
        <v>0.90965522750936167</v>
      </c>
    </row>
    <row r="35" spans="1:13" x14ac:dyDescent="0.3">
      <c r="E35"/>
      <c r="F35"/>
      <c r="G35"/>
      <c r="H35"/>
      <c r="I35"/>
      <c r="J35"/>
      <c r="K35"/>
      <c r="L35"/>
      <c r="M35"/>
    </row>
    <row r="36" spans="1:13" x14ac:dyDescent="0.3">
      <c r="A36" s="18" t="str">
        <f>CONCATENATE("Regression equation is: ", F33, " + ", E34, " * ", F34)</f>
        <v>Regression equation is: 1560.19756317845 + week 16 * 0.826973428013281</v>
      </c>
      <c r="B36" s="23"/>
      <c r="E36"/>
      <c r="F36"/>
      <c r="G36"/>
      <c r="H36"/>
      <c r="I36"/>
      <c r="J36"/>
      <c r="K36"/>
      <c r="L36"/>
      <c r="M36"/>
    </row>
    <row r="37" spans="1:13" x14ac:dyDescent="0.3">
      <c r="B37" s="23"/>
      <c r="E37"/>
      <c r="F37"/>
      <c r="G37"/>
      <c r="H37"/>
      <c r="I37"/>
      <c r="J37"/>
      <c r="K37"/>
      <c r="L37"/>
      <c r="M37"/>
    </row>
    <row r="38" spans="1:13" x14ac:dyDescent="0.3">
      <c r="B38" s="23"/>
      <c r="E38" s="24" t="s">
        <v>104</v>
      </c>
      <c r="F38" s="25">
        <f>AVERAGE(R2:R11)</f>
        <v>6923.2</v>
      </c>
      <c r="H38" s="26" t="s">
        <v>105</v>
      </c>
      <c r="I38" s="27">
        <v>0.9</v>
      </c>
      <c r="J38" s="26" t="s">
        <v>106</v>
      </c>
      <c r="K38" s="28">
        <f>1-I38</f>
        <v>9.9999999999999978E-2</v>
      </c>
    </row>
    <row r="39" spans="1:13" x14ac:dyDescent="0.3">
      <c r="B39" s="23"/>
      <c r="E39" s="24" t="s">
        <v>107</v>
      </c>
      <c r="F39" s="18">
        <f>STDEV(R2:R11)</f>
        <v>941.5737181265572</v>
      </c>
    </row>
    <row r="40" spans="1:13" x14ac:dyDescent="0.3">
      <c r="B40" s="23"/>
      <c r="E40" s="24"/>
    </row>
    <row r="41" spans="1:13" x14ac:dyDescent="0.3">
      <c r="B41" s="23"/>
      <c r="E41" s="29" t="s">
        <v>108</v>
      </c>
      <c r="F41" s="30" t="s">
        <v>109</v>
      </c>
      <c r="G41" s="30" t="s">
        <v>110</v>
      </c>
      <c r="H41" s="30" t="s">
        <v>111</v>
      </c>
      <c r="I41" s="30" t="s">
        <v>112</v>
      </c>
      <c r="J41" s="30" t="s">
        <v>113</v>
      </c>
      <c r="K41" s="30" t="s">
        <v>114</v>
      </c>
    </row>
    <row r="42" spans="1:13" x14ac:dyDescent="0.3">
      <c r="B42" s="23"/>
      <c r="E42">
        <v>4364</v>
      </c>
      <c r="F42" s="31">
        <f>TINV(K38, F29)</f>
        <v>1.8595480375308981</v>
      </c>
      <c r="G42" s="31">
        <f>F23*SQRT(1+1/F24+(E42-F38)^2/F39^2/F30)</f>
        <v>140.36885425747303</v>
      </c>
      <c r="H42" s="31">
        <f>F42*G42</f>
        <v>261.02262746494461</v>
      </c>
      <c r="I42" s="32">
        <f>J42-H42</f>
        <v>4908.0869755634667</v>
      </c>
      <c r="J42" s="32">
        <f>F33+E42*F34</f>
        <v>5169.1096030284116</v>
      </c>
      <c r="K42" s="32">
        <f>J42+H42</f>
        <v>5430.1322304933565</v>
      </c>
    </row>
  </sheetData>
  <sortState ref="A2:AD12">
    <sortCondition ref="B2:B12"/>
  </sortState>
  <pageMargins left="0.7" right="0.7" top="0.75" bottom="0.75" header="0.3" footer="0.3"/>
  <pageSetup orientation="portrait" verticalDpi="601"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
  <sheetViews>
    <sheetView zoomScale="70" zoomScaleNormal="70" zoomScalePageLayoutView="90" workbookViewId="0">
      <pane xSplit="14" topLeftCell="O1" activePane="topRight" state="frozen"/>
      <selection activeCell="T26" sqref="T26"/>
      <selection pane="topRight" activeCell="E17" sqref="E17:M37"/>
    </sheetView>
  </sheetViews>
  <sheetFormatPr defaultColWidth="8.77734375" defaultRowHeight="14.4" x14ac:dyDescent="0.3"/>
  <cols>
    <col min="1" max="1" width="7.109375" style="18" bestFit="1" customWidth="1"/>
    <col min="2" max="2" width="9.109375" style="18" bestFit="1" customWidth="1"/>
    <col min="3" max="4" width="10.77734375" style="18" customWidth="1"/>
    <col min="5" max="5" width="18" style="18" bestFit="1" customWidth="1"/>
    <col min="6" max="6" width="12" style="18" bestFit="1" customWidth="1"/>
    <col min="7" max="7" width="14.44140625" style="18" bestFit="1" customWidth="1"/>
    <col min="8" max="9" width="12" style="18" bestFit="1" customWidth="1"/>
    <col min="10" max="10" width="13.44140625" style="18" bestFit="1" customWidth="1"/>
    <col min="11" max="11" width="12" style="18" bestFit="1" customWidth="1"/>
    <col min="12" max="13" width="12.44140625" style="18" bestFit="1" customWidth="1"/>
    <col min="14" max="27" width="10.77734375" style="18" customWidth="1"/>
    <col min="28" max="29" width="10.44140625" style="18" bestFit="1" customWidth="1"/>
    <col min="30" max="16384" width="8.77734375" style="18"/>
  </cols>
  <sheetData>
    <row r="1" spans="1:30" x14ac:dyDescent="0.3">
      <c r="A1" s="18" t="s">
        <v>52</v>
      </c>
      <c r="B1" s="18" t="s">
        <v>53</v>
      </c>
      <c r="C1" s="33" t="s">
        <v>54</v>
      </c>
      <c r="D1" s="18" t="s">
        <v>55</v>
      </c>
      <c r="E1" s="18" t="s">
        <v>56</v>
      </c>
      <c r="F1" s="18" t="s">
        <v>57</v>
      </c>
      <c r="G1" s="18" t="s">
        <v>58</v>
      </c>
      <c r="H1" s="18" t="s">
        <v>59</v>
      </c>
      <c r="I1" s="18" t="s">
        <v>60</v>
      </c>
      <c r="J1" s="18" t="s">
        <v>61</v>
      </c>
      <c r="K1" s="18" t="s">
        <v>62</v>
      </c>
      <c r="L1" s="18" t="s">
        <v>63</v>
      </c>
      <c r="M1" s="18" t="s">
        <v>64</v>
      </c>
      <c r="N1" s="18" t="s">
        <v>65</v>
      </c>
      <c r="O1" s="18" t="s">
        <v>66</v>
      </c>
      <c r="P1" s="18" t="s">
        <v>67</v>
      </c>
      <c r="Q1" s="18" t="s">
        <v>68</v>
      </c>
      <c r="R1" s="18" t="s">
        <v>69</v>
      </c>
      <c r="S1" s="18" t="s">
        <v>70</v>
      </c>
      <c r="T1" s="18" t="s">
        <v>71</v>
      </c>
      <c r="U1" s="18" t="s">
        <v>72</v>
      </c>
      <c r="V1" s="18" t="s">
        <v>73</v>
      </c>
      <c r="W1" s="18" t="s">
        <v>74</v>
      </c>
      <c r="X1" s="18" t="s">
        <v>75</v>
      </c>
      <c r="Y1" s="18" t="s">
        <v>76</v>
      </c>
      <c r="Z1" s="18" t="s">
        <v>77</v>
      </c>
      <c r="AA1" s="18" t="s">
        <v>78</v>
      </c>
      <c r="AB1" s="18" t="s">
        <v>115</v>
      </c>
      <c r="AC1" s="18" t="s">
        <v>116</v>
      </c>
    </row>
    <row r="2" spans="1:30" x14ac:dyDescent="0.3">
      <c r="A2" s="18">
        <v>3601</v>
      </c>
      <c r="B2" s="18">
        <v>201102</v>
      </c>
      <c r="C2" s="25">
        <v>225</v>
      </c>
      <c r="D2" s="25">
        <v>582</v>
      </c>
      <c r="E2" s="25">
        <v>762</v>
      </c>
      <c r="F2" s="25">
        <v>888</v>
      </c>
      <c r="G2" s="25">
        <v>1065</v>
      </c>
      <c r="H2" s="25">
        <v>1293</v>
      </c>
      <c r="I2" s="25">
        <v>1535</v>
      </c>
      <c r="J2" s="25">
        <v>1771</v>
      </c>
      <c r="K2" s="25">
        <v>1970</v>
      </c>
      <c r="L2" s="25">
        <v>2179</v>
      </c>
      <c r="M2" s="25">
        <v>2420</v>
      </c>
      <c r="N2" s="25">
        <v>2692</v>
      </c>
      <c r="O2" s="25">
        <v>2840</v>
      </c>
      <c r="P2" s="25">
        <v>2965</v>
      </c>
      <c r="Q2" s="25">
        <v>2990</v>
      </c>
      <c r="R2" s="25">
        <v>3058</v>
      </c>
      <c r="S2" s="25">
        <v>3158</v>
      </c>
      <c r="T2" s="25">
        <v>3234</v>
      </c>
      <c r="U2" s="25">
        <v>3270</v>
      </c>
      <c r="V2" s="25">
        <v>3360</v>
      </c>
      <c r="W2" s="25">
        <v>3376</v>
      </c>
      <c r="X2" s="25">
        <v>3385</v>
      </c>
      <c r="Y2" s="25">
        <v>3477</v>
      </c>
      <c r="Z2" s="25">
        <v>3487</v>
      </c>
      <c r="AA2" s="25">
        <v>3585</v>
      </c>
      <c r="AB2" s="18">
        <v>3591</v>
      </c>
      <c r="AC2" s="18">
        <v>3592</v>
      </c>
      <c r="AD2" s="25">
        <v>3602</v>
      </c>
    </row>
    <row r="3" spans="1:30" x14ac:dyDescent="0.3">
      <c r="A3" s="18">
        <v>3899</v>
      </c>
      <c r="B3" s="18">
        <v>201202</v>
      </c>
      <c r="C3" s="25"/>
      <c r="D3" s="25"/>
      <c r="E3" s="25">
        <v>966</v>
      </c>
      <c r="F3" s="25">
        <v>1078</v>
      </c>
      <c r="G3" s="25">
        <v>1308</v>
      </c>
      <c r="H3" s="25">
        <v>1591</v>
      </c>
      <c r="I3" s="25">
        <v>1850</v>
      </c>
      <c r="J3" s="25">
        <v>2079</v>
      </c>
      <c r="K3" s="25">
        <v>2304</v>
      </c>
      <c r="L3" s="25">
        <v>2472</v>
      </c>
      <c r="M3" s="25">
        <v>2658</v>
      </c>
      <c r="N3" s="25">
        <v>2850</v>
      </c>
      <c r="O3" s="25">
        <v>3024</v>
      </c>
      <c r="P3" s="25">
        <v>3120</v>
      </c>
      <c r="Q3" s="25">
        <v>3190</v>
      </c>
      <c r="R3" s="25">
        <v>3260</v>
      </c>
      <c r="S3" s="25">
        <v>3319</v>
      </c>
      <c r="T3" s="25">
        <v>3368</v>
      </c>
      <c r="U3" s="25">
        <v>3426</v>
      </c>
      <c r="V3" s="25">
        <v>3439</v>
      </c>
      <c r="W3" s="25">
        <v>3498</v>
      </c>
      <c r="X3" s="25">
        <v>3624</v>
      </c>
      <c r="Y3" s="25">
        <v>3697</v>
      </c>
      <c r="Z3" s="25">
        <v>3724</v>
      </c>
      <c r="AA3" s="25">
        <v>3747</v>
      </c>
      <c r="AB3" s="18">
        <v>3785</v>
      </c>
      <c r="AC3" s="18">
        <v>3879</v>
      </c>
    </row>
    <row r="4" spans="1:30" x14ac:dyDescent="0.3">
      <c r="A4" s="18">
        <v>3682</v>
      </c>
      <c r="B4" s="18">
        <v>201302</v>
      </c>
      <c r="C4" s="25"/>
      <c r="D4" s="25"/>
      <c r="E4" s="25"/>
      <c r="F4" s="25">
        <v>1116</v>
      </c>
      <c r="G4" s="25">
        <v>1365</v>
      </c>
      <c r="H4" s="25">
        <v>1645</v>
      </c>
      <c r="I4" s="25">
        <v>1894</v>
      </c>
      <c r="J4" s="25">
        <v>2102</v>
      </c>
      <c r="K4" s="25">
        <v>2289</v>
      </c>
      <c r="L4" s="25">
        <v>2462</v>
      </c>
      <c r="M4" s="25">
        <v>2662</v>
      </c>
      <c r="N4" s="25">
        <v>2857</v>
      </c>
      <c r="O4" s="25">
        <v>3040</v>
      </c>
      <c r="P4" s="25">
        <v>3125</v>
      </c>
      <c r="Q4" s="25">
        <v>3121</v>
      </c>
      <c r="R4" s="25">
        <v>3235</v>
      </c>
      <c r="S4" s="25">
        <v>3274</v>
      </c>
      <c r="T4" s="25">
        <v>3331</v>
      </c>
      <c r="U4" s="25">
        <v>3364</v>
      </c>
      <c r="V4" s="25">
        <v>3371</v>
      </c>
      <c r="W4" s="25">
        <v>3390</v>
      </c>
      <c r="X4" s="25">
        <v>3408</v>
      </c>
      <c r="Y4" s="25">
        <v>3422</v>
      </c>
      <c r="Z4" s="25">
        <v>3534</v>
      </c>
      <c r="AA4" s="25">
        <v>3577</v>
      </c>
      <c r="AB4" s="18">
        <v>3650</v>
      </c>
      <c r="AC4" s="18">
        <v>3674</v>
      </c>
    </row>
    <row r="5" spans="1:30" x14ac:dyDescent="0.3">
      <c r="A5" s="18">
        <v>3547</v>
      </c>
      <c r="B5" s="18">
        <v>201402</v>
      </c>
      <c r="C5" s="25"/>
      <c r="D5" s="25">
        <v>809</v>
      </c>
      <c r="E5" s="25">
        <v>1081</v>
      </c>
      <c r="F5" s="25">
        <v>1246</v>
      </c>
      <c r="G5">
        <v>1368</v>
      </c>
      <c r="H5" s="25">
        <v>1583</v>
      </c>
      <c r="I5" s="18">
        <v>1823</v>
      </c>
      <c r="J5" s="18">
        <v>2082</v>
      </c>
      <c r="K5" s="18">
        <v>2241</v>
      </c>
      <c r="L5" s="18">
        <v>2440</v>
      </c>
      <c r="M5" s="18">
        <v>2611</v>
      </c>
      <c r="N5" s="18">
        <v>2752</v>
      </c>
      <c r="O5" s="18">
        <v>2933</v>
      </c>
      <c r="P5" s="18">
        <v>2959</v>
      </c>
      <c r="Q5" s="18">
        <v>2953</v>
      </c>
      <c r="R5" s="39">
        <v>3066</v>
      </c>
      <c r="S5" s="18">
        <v>3195</v>
      </c>
      <c r="T5" s="18">
        <v>3224</v>
      </c>
      <c r="U5" s="18">
        <v>3275</v>
      </c>
      <c r="V5" s="39">
        <v>3293</v>
      </c>
      <c r="W5" s="18">
        <v>3335</v>
      </c>
      <c r="X5" s="18">
        <v>3350</v>
      </c>
      <c r="Y5" s="18">
        <v>3366</v>
      </c>
      <c r="Z5" s="18">
        <v>3413</v>
      </c>
      <c r="AA5" s="18">
        <v>3459</v>
      </c>
      <c r="AB5" s="18">
        <v>3458</v>
      </c>
      <c r="AC5" s="18">
        <v>3457</v>
      </c>
      <c r="AD5" s="18">
        <v>3543</v>
      </c>
    </row>
    <row r="6" spans="1:30" x14ac:dyDescent="0.3">
      <c r="A6" s="18">
        <v>3595</v>
      </c>
      <c r="B6" s="18">
        <v>201502</v>
      </c>
      <c r="C6" s="25"/>
      <c r="D6" s="25"/>
      <c r="E6" s="25"/>
      <c r="F6" s="25">
        <v>1139</v>
      </c>
      <c r="G6">
        <v>1266</v>
      </c>
      <c r="H6" s="25">
        <v>1456</v>
      </c>
      <c r="I6" s="18">
        <v>1696</v>
      </c>
      <c r="J6" s="18">
        <v>1916</v>
      </c>
      <c r="K6" s="18">
        <v>2171</v>
      </c>
      <c r="L6" s="18">
        <v>2354</v>
      </c>
      <c r="M6" s="18">
        <v>2551</v>
      </c>
      <c r="N6" s="18">
        <v>2786</v>
      </c>
      <c r="O6" s="18">
        <v>2949</v>
      </c>
      <c r="P6" s="18">
        <v>3047</v>
      </c>
      <c r="Q6" s="18">
        <v>3121</v>
      </c>
      <c r="R6" s="39">
        <v>3252</v>
      </c>
      <c r="S6" s="18">
        <v>3278</v>
      </c>
      <c r="T6" s="18">
        <v>3293</v>
      </c>
      <c r="U6" s="18">
        <v>3320</v>
      </c>
      <c r="V6" s="39">
        <v>3329</v>
      </c>
      <c r="W6" s="18">
        <v>3353</v>
      </c>
      <c r="X6" s="18">
        <v>3372</v>
      </c>
      <c r="Y6" s="18">
        <v>3382</v>
      </c>
      <c r="Z6" s="18">
        <v>3457</v>
      </c>
      <c r="AA6" s="18">
        <v>3497</v>
      </c>
      <c r="AB6" s="18">
        <v>3551</v>
      </c>
      <c r="AC6" s="18">
        <v>3596</v>
      </c>
    </row>
    <row r="7" spans="1:30" s="14" customFormat="1" x14ac:dyDescent="0.3">
      <c r="A7" s="14">
        <v>3481</v>
      </c>
      <c r="B7" s="14">
        <v>201602</v>
      </c>
      <c r="C7" s="15">
        <v>332</v>
      </c>
      <c r="D7" s="15">
        <v>813</v>
      </c>
      <c r="E7" s="15">
        <v>1040</v>
      </c>
      <c r="F7" s="15">
        <v>1218</v>
      </c>
      <c r="G7" s="16">
        <v>1324</v>
      </c>
      <c r="H7" s="15">
        <v>1547</v>
      </c>
      <c r="I7" s="14">
        <v>1800</v>
      </c>
      <c r="J7" s="14">
        <v>1990</v>
      </c>
      <c r="K7" s="14">
        <v>2184</v>
      </c>
      <c r="L7" s="14">
        <v>2340</v>
      </c>
      <c r="M7" s="14">
        <v>2540</v>
      </c>
      <c r="N7" s="14">
        <v>2727</v>
      </c>
      <c r="O7" s="16">
        <v>2890</v>
      </c>
      <c r="P7" s="14">
        <v>2985</v>
      </c>
      <c r="Q7" s="16">
        <v>3011</v>
      </c>
      <c r="R7" s="14">
        <v>3127</v>
      </c>
      <c r="S7" s="14">
        <v>3176</v>
      </c>
      <c r="T7">
        <v>3225</v>
      </c>
      <c r="U7">
        <v>3246</v>
      </c>
      <c r="V7">
        <v>3263</v>
      </c>
      <c r="W7">
        <v>3277</v>
      </c>
      <c r="X7">
        <v>3331</v>
      </c>
      <c r="Y7">
        <v>3342</v>
      </c>
      <c r="Z7">
        <v>3349</v>
      </c>
      <c r="AA7">
        <v>3404</v>
      </c>
      <c r="AB7">
        <v>3449</v>
      </c>
      <c r="AC7">
        <v>3473</v>
      </c>
    </row>
    <row r="8" spans="1:30" s="14" customFormat="1" x14ac:dyDescent="0.3">
      <c r="A8" s="14">
        <v>3037</v>
      </c>
      <c r="B8" s="14">
        <v>201702</v>
      </c>
      <c r="C8" s="15"/>
      <c r="D8" s="15"/>
      <c r="E8" s="15">
        <v>822</v>
      </c>
      <c r="F8">
        <v>998</v>
      </c>
      <c r="G8">
        <v>1102</v>
      </c>
      <c r="H8">
        <v>1318</v>
      </c>
      <c r="I8">
        <v>1523</v>
      </c>
      <c r="J8">
        <v>1744</v>
      </c>
      <c r="K8">
        <v>1938</v>
      </c>
      <c r="L8">
        <v>2139</v>
      </c>
      <c r="M8">
        <v>2343</v>
      </c>
      <c r="N8">
        <v>2479</v>
      </c>
      <c r="O8">
        <v>2617</v>
      </c>
      <c r="P8">
        <v>2666</v>
      </c>
      <c r="Q8">
        <v>2707</v>
      </c>
      <c r="R8">
        <v>2715</v>
      </c>
      <c r="S8">
        <v>2761</v>
      </c>
      <c r="T8">
        <v>2829</v>
      </c>
      <c r="U8">
        <v>2850</v>
      </c>
      <c r="V8">
        <v>2858</v>
      </c>
      <c r="W8">
        <v>2871</v>
      </c>
      <c r="X8">
        <v>2886</v>
      </c>
      <c r="Y8">
        <v>2911</v>
      </c>
      <c r="Z8">
        <v>2942</v>
      </c>
      <c r="AA8">
        <v>2973</v>
      </c>
      <c r="AB8">
        <v>2998</v>
      </c>
      <c r="AC8">
        <v>3032</v>
      </c>
    </row>
    <row r="9" spans="1:30" s="14" customFormat="1" x14ac:dyDescent="0.3">
      <c r="A9" s="14">
        <v>3062</v>
      </c>
      <c r="B9" s="14">
        <v>201802</v>
      </c>
      <c r="C9" s="15"/>
      <c r="D9" s="15"/>
      <c r="E9" s="15"/>
      <c r="F9" s="47"/>
      <c r="G9">
        <v>1050</v>
      </c>
      <c r="H9">
        <v>1231</v>
      </c>
      <c r="I9">
        <v>1402</v>
      </c>
      <c r="J9">
        <v>1624</v>
      </c>
      <c r="K9">
        <v>1820</v>
      </c>
      <c r="L9">
        <v>2014</v>
      </c>
      <c r="M9">
        <v>2193</v>
      </c>
      <c r="N9">
        <v>2366</v>
      </c>
      <c r="O9">
        <v>2509</v>
      </c>
      <c r="P9">
        <v>2659</v>
      </c>
      <c r="Q9">
        <v>2669</v>
      </c>
      <c r="R9">
        <v>2699</v>
      </c>
      <c r="S9">
        <v>2736</v>
      </c>
      <c r="T9">
        <v>2778</v>
      </c>
      <c r="U9">
        <v>2857</v>
      </c>
      <c r="V9">
        <v>2888</v>
      </c>
      <c r="W9">
        <v>2900</v>
      </c>
      <c r="X9">
        <v>2950</v>
      </c>
      <c r="Y9">
        <v>2972</v>
      </c>
      <c r="Z9">
        <v>3019</v>
      </c>
      <c r="AA9">
        <v>3026</v>
      </c>
      <c r="AB9">
        <v>3026</v>
      </c>
      <c r="AC9">
        <v>3024</v>
      </c>
    </row>
    <row r="10" spans="1:30" s="14" customFormat="1" x14ac:dyDescent="0.3">
      <c r="A10" s="14">
        <v>2942</v>
      </c>
      <c r="B10" s="14">
        <v>201902</v>
      </c>
      <c r="C10" s="15"/>
      <c r="D10" s="15"/>
      <c r="E10" s="15"/>
      <c r="F10">
        <v>844</v>
      </c>
      <c r="G10">
        <v>931</v>
      </c>
      <c r="H10">
        <v>1081</v>
      </c>
      <c r="I10">
        <v>1299</v>
      </c>
      <c r="J10">
        <v>1502</v>
      </c>
      <c r="K10">
        <v>1665</v>
      </c>
      <c r="L10">
        <v>1847</v>
      </c>
      <c r="M10">
        <v>2056</v>
      </c>
      <c r="N10">
        <v>2216</v>
      </c>
      <c r="O10">
        <v>2424</v>
      </c>
      <c r="P10">
        <v>2603</v>
      </c>
      <c r="Q10">
        <v>2630</v>
      </c>
      <c r="R10">
        <v>2679</v>
      </c>
      <c r="S10">
        <v>2714</v>
      </c>
      <c r="T10">
        <v>2748</v>
      </c>
      <c r="U10">
        <v>2755</v>
      </c>
      <c r="V10">
        <v>2760</v>
      </c>
      <c r="W10">
        <v>2762</v>
      </c>
      <c r="X10">
        <v>2835</v>
      </c>
      <c r="Y10">
        <v>2844</v>
      </c>
      <c r="Z10">
        <v>2889</v>
      </c>
      <c r="AA10">
        <v>2897</v>
      </c>
      <c r="AB10">
        <v>2928</v>
      </c>
      <c r="AC10">
        <v>2940</v>
      </c>
    </row>
    <row r="11" spans="1:30" s="14" customFormat="1" x14ac:dyDescent="0.3">
      <c r="A11" s="14">
        <v>2685</v>
      </c>
      <c r="B11" s="14">
        <v>202002</v>
      </c>
      <c r="C11" s="15"/>
      <c r="D11" s="15"/>
      <c r="E11" s="15"/>
      <c r="F11"/>
      <c r="G11"/>
      <c r="H11"/>
      <c r="I11"/>
      <c r="J11"/>
      <c r="K11"/>
      <c r="L11"/>
      <c r="M11"/>
      <c r="N11">
        <v>1894</v>
      </c>
      <c r="O11">
        <v>2093</v>
      </c>
      <c r="P11">
        <v>2337</v>
      </c>
      <c r="Q11">
        <v>2354</v>
      </c>
      <c r="R11">
        <v>2440</v>
      </c>
      <c r="S11">
        <v>2472</v>
      </c>
      <c r="T11">
        <v>2505</v>
      </c>
      <c r="U11">
        <v>2520</v>
      </c>
      <c r="V11">
        <v>2573</v>
      </c>
      <c r="W11">
        <v>2566</v>
      </c>
      <c r="X11">
        <v>2565</v>
      </c>
      <c r="Y11">
        <v>2567</v>
      </c>
      <c r="Z11">
        <v>2570</v>
      </c>
      <c r="AA11">
        <v>2605</v>
      </c>
      <c r="AB11">
        <v>2642</v>
      </c>
      <c r="AC11">
        <v>2643</v>
      </c>
    </row>
    <row r="12" spans="1:30" s="14" customFormat="1" x14ac:dyDescent="0.3">
      <c r="B12" s="14">
        <v>202102</v>
      </c>
      <c r="C12" s="15"/>
      <c r="D12">
        <v>584</v>
      </c>
      <c r="E12">
        <v>722</v>
      </c>
      <c r="F12">
        <v>822</v>
      </c>
      <c r="G12">
        <v>913</v>
      </c>
      <c r="H12">
        <v>1039</v>
      </c>
      <c r="I12">
        <v>1162</v>
      </c>
      <c r="J12">
        <v>1310</v>
      </c>
      <c r="K12">
        <v>1455</v>
      </c>
      <c r="L12">
        <v>1579</v>
      </c>
      <c r="M12">
        <v>1727</v>
      </c>
      <c r="N12">
        <v>1882</v>
      </c>
      <c r="O12">
        <v>2010</v>
      </c>
      <c r="P12">
        <v>2176</v>
      </c>
      <c r="Q12">
        <v>2290</v>
      </c>
      <c r="R12">
        <v>2371</v>
      </c>
      <c r="S12"/>
      <c r="T12"/>
      <c r="U12"/>
      <c r="V12"/>
      <c r="W12"/>
      <c r="X12"/>
      <c r="Y12"/>
      <c r="Z12"/>
      <c r="AA12"/>
      <c r="AB12"/>
      <c r="AC12"/>
    </row>
    <row r="13" spans="1:30" s="14" customFormat="1" x14ac:dyDescent="0.3">
      <c r="B13" s="34" t="s">
        <v>79</v>
      </c>
      <c r="C13" s="45">
        <v>44242</v>
      </c>
      <c r="D13" s="45">
        <v>44249</v>
      </c>
      <c r="E13" s="45">
        <v>44256</v>
      </c>
      <c r="F13" s="45">
        <v>44263</v>
      </c>
      <c r="G13" s="45">
        <v>44270</v>
      </c>
      <c r="H13" s="45">
        <v>44277</v>
      </c>
      <c r="I13" s="45">
        <v>44284</v>
      </c>
      <c r="J13" s="45">
        <v>44291</v>
      </c>
      <c r="K13" s="45">
        <v>44298</v>
      </c>
      <c r="L13" s="45">
        <v>44305</v>
      </c>
      <c r="M13" s="45">
        <v>44312</v>
      </c>
      <c r="N13" s="45">
        <v>44319</v>
      </c>
      <c r="O13" s="45">
        <v>44326</v>
      </c>
      <c r="P13" s="45">
        <v>44333</v>
      </c>
      <c r="Q13" s="45">
        <v>44340</v>
      </c>
      <c r="R13" s="45">
        <v>44347</v>
      </c>
      <c r="S13" s="45">
        <v>44354</v>
      </c>
      <c r="T13" s="45">
        <v>44361</v>
      </c>
      <c r="U13" s="45">
        <v>44368</v>
      </c>
      <c r="V13" s="45">
        <v>44375</v>
      </c>
      <c r="W13" s="45">
        <v>44382</v>
      </c>
      <c r="X13" s="45">
        <v>44389</v>
      </c>
      <c r="Y13" s="45">
        <v>44396</v>
      </c>
      <c r="Z13" s="45">
        <v>44403</v>
      </c>
      <c r="AA13" s="45">
        <v>44410</v>
      </c>
      <c r="AB13" s="45">
        <v>44417</v>
      </c>
      <c r="AC13" s="45">
        <v>44424</v>
      </c>
      <c r="AD13" s="45"/>
    </row>
    <row r="14" spans="1:30" s="14" customFormat="1" x14ac:dyDescent="0.3">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row>
    <row r="17" spans="5:13" x14ac:dyDescent="0.3">
      <c r="E17" t="s">
        <v>80</v>
      </c>
      <c r="F17"/>
      <c r="G17"/>
      <c r="H17"/>
      <c r="I17"/>
      <c r="J17"/>
      <c r="K17"/>
      <c r="L17"/>
      <c r="M17"/>
    </row>
    <row r="18" spans="5:13" ht="15" thickBot="1" x14ac:dyDescent="0.35">
      <c r="E18"/>
      <c r="F18"/>
      <c r="G18"/>
      <c r="H18"/>
      <c r="I18"/>
      <c r="J18"/>
      <c r="K18"/>
      <c r="L18"/>
      <c r="M18"/>
    </row>
    <row r="19" spans="5:13" x14ac:dyDescent="0.3">
      <c r="E19" s="19" t="s">
        <v>81</v>
      </c>
      <c r="F19" s="19"/>
      <c r="G19"/>
      <c r="H19"/>
      <c r="I19"/>
      <c r="J19"/>
      <c r="K19"/>
      <c r="L19"/>
      <c r="M19"/>
    </row>
    <row r="20" spans="5:13" x14ac:dyDescent="0.3">
      <c r="E20" s="20" t="s">
        <v>82</v>
      </c>
      <c r="F20" s="20">
        <v>0.9730500975134565</v>
      </c>
      <c r="G20"/>
      <c r="H20"/>
      <c r="I20"/>
      <c r="J20"/>
      <c r="K20"/>
      <c r="L20"/>
      <c r="M20"/>
    </row>
    <row r="21" spans="5:13" x14ac:dyDescent="0.3">
      <c r="E21" s="20" t="s">
        <v>83</v>
      </c>
      <c r="F21" s="20">
        <v>0.94682649227094728</v>
      </c>
      <c r="G21"/>
      <c r="H21"/>
      <c r="I21"/>
      <c r="J21"/>
      <c r="K21"/>
      <c r="L21"/>
      <c r="M21"/>
    </row>
    <row r="22" spans="5:13" x14ac:dyDescent="0.3">
      <c r="E22" s="20" t="s">
        <v>84</v>
      </c>
      <c r="F22" s="20">
        <v>0.94017980380481569</v>
      </c>
      <c r="G22"/>
      <c r="H22"/>
      <c r="I22"/>
      <c r="J22"/>
      <c r="K22"/>
      <c r="L22"/>
      <c r="M22"/>
    </row>
    <row r="23" spans="5:13" x14ac:dyDescent="0.3">
      <c r="E23" s="20" t="s">
        <v>85</v>
      </c>
      <c r="F23" s="20">
        <v>95.777207873418078</v>
      </c>
      <c r="G23"/>
      <c r="H23"/>
      <c r="I23"/>
      <c r="J23"/>
      <c r="K23"/>
      <c r="L23"/>
      <c r="M23"/>
    </row>
    <row r="24" spans="5:13" ht="15" thickBot="1" x14ac:dyDescent="0.35">
      <c r="E24" s="21" t="s">
        <v>86</v>
      </c>
      <c r="F24" s="21">
        <v>10</v>
      </c>
      <c r="G24"/>
      <c r="H24"/>
      <c r="I24"/>
      <c r="J24"/>
      <c r="K24"/>
      <c r="L24"/>
      <c r="M24"/>
    </row>
    <row r="25" spans="5:13" x14ac:dyDescent="0.3">
      <c r="E25"/>
      <c r="F25"/>
      <c r="G25"/>
      <c r="H25"/>
      <c r="I25"/>
      <c r="J25"/>
      <c r="K25"/>
      <c r="L25"/>
      <c r="M25"/>
    </row>
    <row r="26" spans="5:13" ht="15" thickBot="1" x14ac:dyDescent="0.35">
      <c r="E26" t="s">
        <v>87</v>
      </c>
      <c r="F26"/>
      <c r="G26"/>
      <c r="H26"/>
      <c r="I26"/>
      <c r="J26"/>
      <c r="K26"/>
      <c r="L26"/>
      <c r="M26"/>
    </row>
    <row r="27" spans="5:13" x14ac:dyDescent="0.3">
      <c r="E27" s="22"/>
      <c r="F27" s="22" t="s">
        <v>88</v>
      </c>
      <c r="G27" s="22" t="s">
        <v>89</v>
      </c>
      <c r="H27" s="22" t="s">
        <v>90</v>
      </c>
      <c r="I27" s="22" t="s">
        <v>91</v>
      </c>
      <c r="J27" s="22" t="s">
        <v>92</v>
      </c>
      <c r="K27"/>
      <c r="L27"/>
      <c r="M27"/>
    </row>
    <row r="28" spans="5:13" x14ac:dyDescent="0.3">
      <c r="E28" s="20" t="s">
        <v>93</v>
      </c>
      <c r="F28" s="20">
        <v>1</v>
      </c>
      <c r="G28" s="20">
        <v>1306740.7116157764</v>
      </c>
      <c r="H28" s="20">
        <v>1306740.7116157764</v>
      </c>
      <c r="I28" s="20">
        <v>142.45086061962019</v>
      </c>
      <c r="J28" s="20">
        <v>2.2340455200130033E-6</v>
      </c>
      <c r="K28"/>
      <c r="L28"/>
      <c r="M28"/>
    </row>
    <row r="29" spans="5:13" x14ac:dyDescent="0.3">
      <c r="E29" s="20" t="s">
        <v>94</v>
      </c>
      <c r="F29" s="20">
        <v>8</v>
      </c>
      <c r="G29" s="20">
        <v>73386.188384223497</v>
      </c>
      <c r="H29" s="20">
        <v>9173.2735480279371</v>
      </c>
      <c r="I29" s="20"/>
      <c r="J29" s="20"/>
      <c r="K29"/>
      <c r="L29"/>
      <c r="M29"/>
    </row>
    <row r="30" spans="5:13" ht="15" thickBot="1" x14ac:dyDescent="0.35">
      <c r="E30" s="21" t="s">
        <v>95</v>
      </c>
      <c r="F30" s="21">
        <v>9</v>
      </c>
      <c r="G30" s="21">
        <v>1380126.9</v>
      </c>
      <c r="H30" s="21"/>
      <c r="I30" s="21"/>
      <c r="J30" s="21"/>
      <c r="K30"/>
      <c r="L30"/>
      <c r="M30"/>
    </row>
    <row r="31" spans="5:13" ht="15" thickBot="1" x14ac:dyDescent="0.35">
      <c r="E31"/>
      <c r="F31"/>
      <c r="G31"/>
      <c r="H31"/>
      <c r="I31"/>
      <c r="J31"/>
      <c r="K31"/>
      <c r="L31"/>
      <c r="M31"/>
    </row>
    <row r="32" spans="5:13" x14ac:dyDescent="0.3">
      <c r="E32" s="22"/>
      <c r="F32" s="22" t="s">
        <v>96</v>
      </c>
      <c r="G32" s="22" t="s">
        <v>85</v>
      </c>
      <c r="H32" s="22" t="s">
        <v>97</v>
      </c>
      <c r="I32" s="22" t="s">
        <v>98</v>
      </c>
      <c r="J32" s="22" t="s">
        <v>99</v>
      </c>
      <c r="K32" s="22" t="s">
        <v>100</v>
      </c>
      <c r="L32" s="22" t="s">
        <v>101</v>
      </c>
      <c r="M32" s="22" t="s">
        <v>102</v>
      </c>
    </row>
    <row r="33" spans="1:13" x14ac:dyDescent="0.3">
      <c r="E33" s="20" t="s">
        <v>103</v>
      </c>
      <c r="F33" s="20">
        <v>-477.44438355607053</v>
      </c>
      <c r="G33" s="20">
        <v>322.3689832770275</v>
      </c>
      <c r="H33" s="20">
        <v>-1.4810493823029467</v>
      </c>
      <c r="I33" s="20">
        <v>0.17686839631939538</v>
      </c>
      <c r="J33" s="20">
        <v>-1220.828592054459</v>
      </c>
      <c r="K33" s="20">
        <v>265.93982494231784</v>
      </c>
      <c r="L33" s="20">
        <v>-1220.828592054459</v>
      </c>
      <c r="M33" s="20">
        <v>265.93982494231784</v>
      </c>
    </row>
    <row r="34" spans="1:13" ht="15" thickBot="1" x14ac:dyDescent="0.35">
      <c r="E34" s="21" t="s">
        <v>69</v>
      </c>
      <c r="F34" s="21">
        <v>1.2971265394182623</v>
      </c>
      <c r="G34" s="21">
        <v>0.10868004422390087</v>
      </c>
      <c r="H34" s="21">
        <v>11.935277986692231</v>
      </c>
      <c r="I34" s="21">
        <v>2.2340455200130071E-6</v>
      </c>
      <c r="J34" s="21">
        <v>1.0465099080237752</v>
      </c>
      <c r="K34" s="21">
        <v>1.5477431708127494</v>
      </c>
      <c r="L34" s="21">
        <v>1.0465099080237752</v>
      </c>
      <c r="M34" s="21">
        <v>1.5477431708127494</v>
      </c>
    </row>
    <row r="35" spans="1:13" x14ac:dyDescent="0.3">
      <c r="E35"/>
      <c r="F35"/>
      <c r="G35"/>
      <c r="H35"/>
      <c r="I35"/>
      <c r="J35"/>
      <c r="K35"/>
      <c r="L35"/>
      <c r="M35"/>
    </row>
    <row r="36" spans="1:13" x14ac:dyDescent="0.3">
      <c r="A36" s="18" t="str">
        <f>CONCATENATE("Regression equation is: ", F33, " + ", E34, " * ", F34)</f>
        <v>Regression equation is: -477.444383556071 + week 16 * 1.29712653941826</v>
      </c>
      <c r="B36" s="23"/>
      <c r="E36"/>
      <c r="F36"/>
      <c r="G36"/>
      <c r="H36"/>
      <c r="I36"/>
      <c r="J36"/>
      <c r="K36"/>
      <c r="L36"/>
      <c r="M36"/>
    </row>
    <row r="37" spans="1:13" x14ac:dyDescent="0.3">
      <c r="B37" s="23"/>
      <c r="E37"/>
      <c r="F37"/>
      <c r="G37"/>
      <c r="H37"/>
      <c r="I37"/>
      <c r="J37"/>
      <c r="K37"/>
      <c r="L37"/>
      <c r="M37"/>
    </row>
    <row r="38" spans="1:13" x14ac:dyDescent="0.3">
      <c r="B38" s="23"/>
      <c r="E38" s="24" t="s">
        <v>104</v>
      </c>
      <c r="F38" s="25">
        <f>AVERAGE(R2:R11)</f>
        <v>2953.1</v>
      </c>
      <c r="H38" s="26" t="s">
        <v>105</v>
      </c>
      <c r="I38" s="27">
        <v>0.9</v>
      </c>
      <c r="J38" s="26" t="s">
        <v>106</v>
      </c>
      <c r="K38" s="28">
        <f>1-I38</f>
        <v>9.9999999999999978E-2</v>
      </c>
    </row>
    <row r="39" spans="1:13" x14ac:dyDescent="0.3">
      <c r="B39" s="23"/>
      <c r="E39" s="24" t="s">
        <v>107</v>
      </c>
      <c r="F39" s="18">
        <f>STDEV(R2:R11)</f>
        <v>293.75895258225273</v>
      </c>
    </row>
    <row r="40" spans="1:13" x14ac:dyDescent="0.3">
      <c r="B40" s="23"/>
      <c r="E40" s="24"/>
    </row>
    <row r="41" spans="1:13" x14ac:dyDescent="0.3">
      <c r="B41" s="23"/>
      <c r="E41" s="29" t="s">
        <v>108</v>
      </c>
      <c r="F41" s="30" t="s">
        <v>109</v>
      </c>
      <c r="G41" s="30" t="s">
        <v>110</v>
      </c>
      <c r="H41" s="30" t="s">
        <v>111</v>
      </c>
      <c r="I41" s="30" t="s">
        <v>112</v>
      </c>
      <c r="J41" s="30" t="s">
        <v>113</v>
      </c>
      <c r="K41" s="30" t="s">
        <v>114</v>
      </c>
    </row>
    <row r="42" spans="1:13" x14ac:dyDescent="0.3">
      <c r="B42" s="23"/>
      <c r="E42">
        <v>2371</v>
      </c>
      <c r="F42" s="31">
        <f>TINV(K38, F29)</f>
        <v>1.8595480375308981</v>
      </c>
      <c r="G42" s="31">
        <f>F23*SQRT(1+1/F24+(E42-F38)^2/F39^2/F30)</f>
        <v>118.71294900474683</v>
      </c>
      <c r="H42" s="31">
        <f>F42*G42</f>
        <v>220.75243135128255</v>
      </c>
      <c r="I42" s="32">
        <f>J42-H42</f>
        <v>2377.2902100533465</v>
      </c>
      <c r="J42" s="32">
        <f>F33+E42*F34</f>
        <v>2598.0426414046292</v>
      </c>
      <c r="K42" s="32">
        <f>J42+H42</f>
        <v>2818.7950727559119</v>
      </c>
    </row>
  </sheetData>
  <sortState ref="A2:AD12">
    <sortCondition ref="B2:B12"/>
  </sortState>
  <pageMargins left="0.7" right="0.7" top="0.75" bottom="0.75" header="0.3" footer="0.3"/>
  <pageSetup orientation="portrait" verticalDpi="601"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
  <sheetViews>
    <sheetView zoomScale="70" zoomScaleNormal="70" zoomScalePageLayoutView="90" workbookViewId="0">
      <pane xSplit="14" topLeftCell="O1" activePane="topRight" state="frozen"/>
      <selection activeCell="T26" sqref="T26"/>
      <selection pane="topRight" activeCell="E17" sqref="E17:M37"/>
    </sheetView>
  </sheetViews>
  <sheetFormatPr defaultColWidth="8.77734375" defaultRowHeight="14.4" x14ac:dyDescent="0.3"/>
  <cols>
    <col min="1" max="1" width="7.109375" style="18" bestFit="1" customWidth="1"/>
    <col min="2" max="2" width="9.109375" style="18" bestFit="1" customWidth="1"/>
    <col min="3" max="4" width="11.44140625" style="18" customWidth="1"/>
    <col min="5" max="5" width="18" style="18" bestFit="1" customWidth="1"/>
    <col min="6" max="6" width="12" style="18" bestFit="1" customWidth="1"/>
    <col min="7" max="7" width="14.44140625" style="18" bestFit="1" customWidth="1"/>
    <col min="8" max="9" width="12" style="18" bestFit="1" customWidth="1"/>
    <col min="10" max="10" width="13.44140625" style="18" bestFit="1" customWidth="1"/>
    <col min="11" max="11" width="12" style="18" bestFit="1" customWidth="1"/>
    <col min="12" max="13" width="12.44140625" style="18" bestFit="1" customWidth="1"/>
    <col min="14" max="27" width="11.44140625" style="18" customWidth="1"/>
    <col min="28" max="29" width="10.44140625" style="18" bestFit="1" customWidth="1"/>
    <col min="30" max="16384" width="8.77734375" style="18"/>
  </cols>
  <sheetData>
    <row r="1" spans="1:30" x14ac:dyDescent="0.3">
      <c r="A1" s="18" t="s">
        <v>52</v>
      </c>
      <c r="B1" s="23" t="s">
        <v>53</v>
      </c>
      <c r="C1" s="18" t="s">
        <v>54</v>
      </c>
      <c r="D1" s="18" t="s">
        <v>55</v>
      </c>
      <c r="E1" s="18" t="s">
        <v>56</v>
      </c>
      <c r="F1" s="18" t="s">
        <v>57</v>
      </c>
      <c r="G1" s="18" t="s">
        <v>58</v>
      </c>
      <c r="H1" s="18" t="s">
        <v>59</v>
      </c>
      <c r="I1" s="18" t="s">
        <v>60</v>
      </c>
      <c r="J1" s="18" t="s">
        <v>61</v>
      </c>
      <c r="K1" s="18" t="s">
        <v>62</v>
      </c>
      <c r="L1" s="18" t="s">
        <v>63</v>
      </c>
      <c r="M1" s="18" t="s">
        <v>64</v>
      </c>
      <c r="N1" s="18" t="s">
        <v>65</v>
      </c>
      <c r="O1" s="18" t="s">
        <v>66</v>
      </c>
      <c r="P1" s="18" t="s">
        <v>67</v>
      </c>
      <c r="Q1" s="18" t="s">
        <v>68</v>
      </c>
      <c r="R1" s="18" t="s">
        <v>69</v>
      </c>
      <c r="S1" s="18" t="s">
        <v>70</v>
      </c>
      <c r="T1" s="18" t="s">
        <v>71</v>
      </c>
      <c r="U1" s="18" t="s">
        <v>72</v>
      </c>
      <c r="V1" s="18" t="s">
        <v>73</v>
      </c>
      <c r="W1" s="18" t="s">
        <v>74</v>
      </c>
      <c r="X1" s="18" t="s">
        <v>75</v>
      </c>
      <c r="Y1" s="18" t="s">
        <v>76</v>
      </c>
      <c r="Z1" s="18" t="s">
        <v>77</v>
      </c>
      <c r="AA1" s="18" t="s">
        <v>78</v>
      </c>
      <c r="AB1" s="18" t="s">
        <v>115</v>
      </c>
      <c r="AC1" s="18" t="s">
        <v>116</v>
      </c>
    </row>
    <row r="2" spans="1:30" x14ac:dyDescent="0.3">
      <c r="A2" s="18">
        <v>1619</v>
      </c>
      <c r="B2" s="18">
        <v>201102</v>
      </c>
      <c r="C2" s="25">
        <v>111</v>
      </c>
      <c r="D2" s="25">
        <v>255</v>
      </c>
      <c r="E2" s="25">
        <v>359</v>
      </c>
      <c r="F2" s="25">
        <v>480</v>
      </c>
      <c r="G2" s="25">
        <v>582</v>
      </c>
      <c r="H2" s="25">
        <v>693</v>
      </c>
      <c r="I2" s="25">
        <v>808</v>
      </c>
      <c r="J2" s="25">
        <v>900</v>
      </c>
      <c r="K2" s="25">
        <v>982</v>
      </c>
      <c r="L2" s="25">
        <v>1073</v>
      </c>
      <c r="M2" s="25">
        <v>1143</v>
      </c>
      <c r="N2" s="25">
        <v>1213</v>
      </c>
      <c r="O2" s="25">
        <v>1270</v>
      </c>
      <c r="P2" s="25">
        <v>1264</v>
      </c>
      <c r="Q2" s="25">
        <v>1274</v>
      </c>
      <c r="R2" s="25">
        <v>1322</v>
      </c>
      <c r="S2" s="25">
        <v>1381</v>
      </c>
      <c r="T2" s="25">
        <v>1421</v>
      </c>
      <c r="U2" s="25">
        <v>1433</v>
      </c>
      <c r="V2" s="25">
        <v>1437</v>
      </c>
      <c r="W2" s="25">
        <v>1499</v>
      </c>
      <c r="X2" s="25">
        <v>1510</v>
      </c>
      <c r="Y2" s="25">
        <v>1557</v>
      </c>
      <c r="Z2" s="25">
        <v>1565</v>
      </c>
      <c r="AA2" s="25">
        <v>1581</v>
      </c>
      <c r="AB2" s="18">
        <v>1588</v>
      </c>
      <c r="AC2" s="18">
        <v>1589</v>
      </c>
      <c r="AD2" s="25">
        <v>1603</v>
      </c>
    </row>
    <row r="3" spans="1:30" x14ac:dyDescent="0.3">
      <c r="A3" s="18">
        <v>1402</v>
      </c>
      <c r="B3" s="18">
        <v>201202</v>
      </c>
      <c r="C3" s="25"/>
      <c r="D3" s="25"/>
      <c r="E3" s="25">
        <v>361</v>
      </c>
      <c r="F3" s="25">
        <v>460</v>
      </c>
      <c r="G3" s="25">
        <v>562</v>
      </c>
      <c r="H3" s="25">
        <v>663</v>
      </c>
      <c r="I3" s="25">
        <v>759</v>
      </c>
      <c r="J3" s="25">
        <v>851</v>
      </c>
      <c r="K3" s="25">
        <v>937</v>
      </c>
      <c r="L3" s="25">
        <v>1017</v>
      </c>
      <c r="M3" s="25">
        <v>1108</v>
      </c>
      <c r="N3" s="25">
        <v>1158</v>
      </c>
      <c r="O3" s="25">
        <v>1198</v>
      </c>
      <c r="P3" s="25">
        <v>1207</v>
      </c>
      <c r="Q3" s="25">
        <v>1255</v>
      </c>
      <c r="R3" s="25">
        <v>1268</v>
      </c>
      <c r="S3" s="25">
        <v>1305</v>
      </c>
      <c r="T3" s="25">
        <v>1346</v>
      </c>
      <c r="U3" s="25">
        <v>1352</v>
      </c>
      <c r="V3" s="25">
        <v>1383</v>
      </c>
      <c r="W3" s="25">
        <v>1390</v>
      </c>
      <c r="X3" s="25">
        <v>1394</v>
      </c>
      <c r="Y3" s="25">
        <v>1394</v>
      </c>
      <c r="Z3" s="25">
        <v>1392</v>
      </c>
      <c r="AA3" s="25">
        <v>1401</v>
      </c>
      <c r="AB3" s="18">
        <v>1405</v>
      </c>
      <c r="AC3" s="18">
        <v>1404</v>
      </c>
    </row>
    <row r="4" spans="1:30" x14ac:dyDescent="0.3">
      <c r="A4" s="18">
        <v>1398</v>
      </c>
      <c r="B4" s="18">
        <v>201302</v>
      </c>
      <c r="C4" s="25"/>
      <c r="D4" s="25"/>
      <c r="E4" s="25"/>
      <c r="F4" s="25">
        <v>365</v>
      </c>
      <c r="G4" s="25">
        <v>489</v>
      </c>
      <c r="H4" s="25">
        <v>589</v>
      </c>
      <c r="I4" s="25">
        <v>704</v>
      </c>
      <c r="J4" s="25">
        <v>805</v>
      </c>
      <c r="K4" s="25">
        <v>882</v>
      </c>
      <c r="L4" s="25">
        <v>975</v>
      </c>
      <c r="M4" s="25">
        <v>1062</v>
      </c>
      <c r="N4" s="25">
        <v>1103</v>
      </c>
      <c r="O4" s="25">
        <v>1143</v>
      </c>
      <c r="P4" s="25">
        <v>1131</v>
      </c>
      <c r="Q4" s="25">
        <v>1121</v>
      </c>
      <c r="R4" s="25">
        <v>1151</v>
      </c>
      <c r="S4" s="25">
        <v>1168</v>
      </c>
      <c r="T4" s="25">
        <v>1216</v>
      </c>
      <c r="U4" s="25">
        <v>1237</v>
      </c>
      <c r="V4" s="25">
        <v>1321</v>
      </c>
      <c r="W4" s="25">
        <v>1342</v>
      </c>
      <c r="X4" s="25">
        <v>1366</v>
      </c>
      <c r="Y4" s="25">
        <v>1372</v>
      </c>
      <c r="Z4" s="25">
        <v>1376</v>
      </c>
      <c r="AA4" s="25">
        <v>1392</v>
      </c>
      <c r="AB4" s="18">
        <v>1392</v>
      </c>
      <c r="AC4" s="18">
        <v>1395</v>
      </c>
    </row>
    <row r="5" spans="1:30" x14ac:dyDescent="0.3">
      <c r="A5" s="18">
        <v>1433</v>
      </c>
      <c r="B5" s="18">
        <v>201402</v>
      </c>
      <c r="C5" s="25"/>
      <c r="D5" s="25">
        <v>164</v>
      </c>
      <c r="E5" s="25">
        <v>290</v>
      </c>
      <c r="F5" s="25">
        <v>428</v>
      </c>
      <c r="G5">
        <v>515</v>
      </c>
      <c r="H5" s="25">
        <v>641</v>
      </c>
      <c r="I5" s="18">
        <v>743</v>
      </c>
      <c r="J5" s="18">
        <v>834</v>
      </c>
      <c r="K5" s="18">
        <v>888</v>
      </c>
      <c r="L5" s="18">
        <v>967</v>
      </c>
      <c r="M5" s="18">
        <v>1062</v>
      </c>
      <c r="N5" s="18">
        <v>1102</v>
      </c>
      <c r="O5" s="18">
        <v>1141</v>
      </c>
      <c r="P5" s="18">
        <v>1121</v>
      </c>
      <c r="Q5" s="18">
        <v>1134</v>
      </c>
      <c r="R5" s="18">
        <v>1143</v>
      </c>
      <c r="S5" s="18">
        <v>1236</v>
      </c>
      <c r="T5" s="18">
        <v>1276</v>
      </c>
      <c r="U5" s="18">
        <v>1285</v>
      </c>
      <c r="V5" s="18">
        <v>1284</v>
      </c>
      <c r="W5" s="18">
        <v>1301</v>
      </c>
      <c r="X5" s="18">
        <v>1333</v>
      </c>
      <c r="Y5" s="18">
        <v>1368</v>
      </c>
      <c r="Z5" s="18">
        <v>1387</v>
      </c>
      <c r="AA5" s="18">
        <v>1398</v>
      </c>
      <c r="AB5" s="18">
        <v>1406</v>
      </c>
      <c r="AC5" s="18">
        <v>1424</v>
      </c>
      <c r="AD5" s="18">
        <v>1433</v>
      </c>
    </row>
    <row r="6" spans="1:30" x14ac:dyDescent="0.3">
      <c r="A6" s="18">
        <v>1374</v>
      </c>
      <c r="B6" s="18">
        <v>201502</v>
      </c>
      <c r="C6" s="25"/>
      <c r="D6" s="25"/>
      <c r="E6" s="25"/>
      <c r="F6" s="25">
        <v>427</v>
      </c>
      <c r="G6">
        <v>515</v>
      </c>
      <c r="H6" s="25">
        <v>623</v>
      </c>
      <c r="I6" s="18">
        <v>690</v>
      </c>
      <c r="J6" s="18">
        <v>792</v>
      </c>
      <c r="K6" s="18">
        <v>875</v>
      </c>
      <c r="L6" s="18">
        <v>937</v>
      </c>
      <c r="M6" s="18">
        <v>1010</v>
      </c>
      <c r="N6" s="18">
        <v>1060</v>
      </c>
      <c r="O6" s="18">
        <v>1114</v>
      </c>
      <c r="P6" s="18">
        <v>1156</v>
      </c>
      <c r="Q6" s="18">
        <v>1186</v>
      </c>
      <c r="R6" s="18">
        <v>1236</v>
      </c>
      <c r="S6" s="18">
        <v>1238</v>
      </c>
      <c r="T6" s="18">
        <v>1281</v>
      </c>
      <c r="U6" s="18">
        <v>1290</v>
      </c>
      <c r="V6" s="18">
        <v>1288</v>
      </c>
      <c r="W6" s="18">
        <v>1294</v>
      </c>
      <c r="X6" s="18">
        <v>1296</v>
      </c>
      <c r="Y6" s="18">
        <v>1322</v>
      </c>
      <c r="Z6" s="18">
        <v>1333</v>
      </c>
      <c r="AA6" s="18">
        <v>1369</v>
      </c>
      <c r="AB6" s="18">
        <v>1377</v>
      </c>
      <c r="AC6" s="18">
        <v>1374</v>
      </c>
    </row>
    <row r="7" spans="1:30" s="14" customFormat="1" x14ac:dyDescent="0.3">
      <c r="A7" s="14">
        <v>1372</v>
      </c>
      <c r="B7" s="14">
        <v>201602</v>
      </c>
      <c r="C7" s="15">
        <v>64</v>
      </c>
      <c r="D7" s="15">
        <v>195</v>
      </c>
      <c r="E7" s="15">
        <v>319</v>
      </c>
      <c r="F7" s="15">
        <v>431</v>
      </c>
      <c r="G7" s="16">
        <v>497</v>
      </c>
      <c r="H7" s="15">
        <v>598</v>
      </c>
      <c r="I7" s="14">
        <v>686</v>
      </c>
      <c r="J7" s="14">
        <v>780</v>
      </c>
      <c r="K7" s="14">
        <v>891</v>
      </c>
      <c r="L7" s="14">
        <v>964</v>
      </c>
      <c r="M7" s="14">
        <v>1022</v>
      </c>
      <c r="N7" s="14">
        <v>1092</v>
      </c>
      <c r="O7" s="16">
        <v>1103</v>
      </c>
      <c r="P7" s="14">
        <v>1169</v>
      </c>
      <c r="Q7" s="16">
        <v>1204</v>
      </c>
      <c r="R7" s="14">
        <v>1281</v>
      </c>
      <c r="S7" s="14">
        <v>1290</v>
      </c>
      <c r="T7">
        <v>1298</v>
      </c>
      <c r="U7">
        <v>1342</v>
      </c>
      <c r="V7">
        <v>1361</v>
      </c>
      <c r="W7">
        <v>1366</v>
      </c>
      <c r="X7">
        <v>1364</v>
      </c>
      <c r="Y7">
        <v>1366</v>
      </c>
      <c r="Z7">
        <v>1371</v>
      </c>
      <c r="AA7">
        <v>1373</v>
      </c>
      <c r="AB7">
        <v>1372</v>
      </c>
      <c r="AC7">
        <v>1372</v>
      </c>
    </row>
    <row r="8" spans="1:30" s="14" customFormat="1" x14ac:dyDescent="0.3">
      <c r="A8" s="14">
        <v>1025</v>
      </c>
      <c r="B8" s="14">
        <v>201702</v>
      </c>
      <c r="C8" s="15"/>
      <c r="D8" s="15"/>
      <c r="E8" s="15">
        <v>305</v>
      </c>
      <c r="F8">
        <v>380</v>
      </c>
      <c r="G8">
        <v>432</v>
      </c>
      <c r="H8">
        <v>502</v>
      </c>
      <c r="I8">
        <v>590</v>
      </c>
      <c r="J8">
        <v>661</v>
      </c>
      <c r="K8">
        <v>733</v>
      </c>
      <c r="L8">
        <v>793</v>
      </c>
      <c r="M8">
        <v>857</v>
      </c>
      <c r="N8">
        <v>906</v>
      </c>
      <c r="O8">
        <v>925</v>
      </c>
      <c r="P8">
        <v>934</v>
      </c>
      <c r="Q8">
        <v>934</v>
      </c>
      <c r="R8">
        <v>983</v>
      </c>
      <c r="S8">
        <v>990</v>
      </c>
      <c r="T8">
        <v>1002</v>
      </c>
      <c r="U8">
        <v>1015</v>
      </c>
      <c r="V8">
        <v>1014</v>
      </c>
      <c r="W8">
        <v>1012</v>
      </c>
      <c r="X8">
        <v>1016</v>
      </c>
      <c r="Y8">
        <v>1025</v>
      </c>
      <c r="Z8">
        <v>1026</v>
      </c>
      <c r="AA8">
        <v>1026</v>
      </c>
      <c r="AB8">
        <v>1026</v>
      </c>
      <c r="AC8">
        <v>1027</v>
      </c>
    </row>
    <row r="9" spans="1:30" s="14" customFormat="1" x14ac:dyDescent="0.3">
      <c r="A9" s="14">
        <v>991</v>
      </c>
      <c r="B9" s="14">
        <v>201802</v>
      </c>
      <c r="C9" s="15"/>
      <c r="D9" s="15"/>
      <c r="E9" s="15"/>
      <c r="F9" s="47"/>
      <c r="G9">
        <v>327</v>
      </c>
      <c r="H9">
        <v>416</v>
      </c>
      <c r="I9">
        <v>484</v>
      </c>
      <c r="J9">
        <v>555</v>
      </c>
      <c r="K9">
        <v>622</v>
      </c>
      <c r="L9">
        <v>678</v>
      </c>
      <c r="M9">
        <v>753</v>
      </c>
      <c r="N9">
        <v>809</v>
      </c>
      <c r="O9">
        <v>846</v>
      </c>
      <c r="P9">
        <v>840</v>
      </c>
      <c r="Q9">
        <v>842</v>
      </c>
      <c r="R9">
        <v>841</v>
      </c>
      <c r="S9">
        <v>864</v>
      </c>
      <c r="T9">
        <v>877</v>
      </c>
      <c r="U9">
        <v>894</v>
      </c>
      <c r="V9">
        <v>896</v>
      </c>
      <c r="W9">
        <v>898</v>
      </c>
      <c r="X9">
        <v>954</v>
      </c>
      <c r="Y9">
        <v>962</v>
      </c>
      <c r="Z9">
        <v>964</v>
      </c>
      <c r="AA9">
        <v>971</v>
      </c>
      <c r="AB9">
        <v>973</v>
      </c>
      <c r="AC9">
        <v>973</v>
      </c>
    </row>
    <row r="10" spans="1:30" s="14" customFormat="1" x14ac:dyDescent="0.3">
      <c r="A10" s="14">
        <v>993</v>
      </c>
      <c r="B10" s="14">
        <v>201902</v>
      </c>
      <c r="C10" s="15"/>
      <c r="D10" s="15"/>
      <c r="E10" s="15"/>
      <c r="F10">
        <v>295</v>
      </c>
      <c r="G10">
        <v>335</v>
      </c>
      <c r="H10">
        <v>389</v>
      </c>
      <c r="I10">
        <v>489</v>
      </c>
      <c r="J10">
        <v>574</v>
      </c>
      <c r="K10">
        <v>638</v>
      </c>
      <c r="L10">
        <v>691</v>
      </c>
      <c r="M10">
        <v>741</v>
      </c>
      <c r="N10">
        <v>809</v>
      </c>
      <c r="O10">
        <v>868</v>
      </c>
      <c r="P10">
        <v>885</v>
      </c>
      <c r="Q10">
        <v>888</v>
      </c>
      <c r="R10">
        <v>877</v>
      </c>
      <c r="S10">
        <v>913</v>
      </c>
      <c r="T10">
        <v>921</v>
      </c>
      <c r="U10">
        <v>925</v>
      </c>
      <c r="V10">
        <v>929</v>
      </c>
      <c r="W10">
        <v>965</v>
      </c>
      <c r="X10">
        <v>964</v>
      </c>
      <c r="Y10">
        <v>969</v>
      </c>
      <c r="Z10">
        <v>975</v>
      </c>
      <c r="AA10">
        <v>981</v>
      </c>
      <c r="AB10">
        <v>991</v>
      </c>
      <c r="AC10">
        <v>993</v>
      </c>
    </row>
    <row r="11" spans="1:30" s="14" customFormat="1" x14ac:dyDescent="0.3">
      <c r="A11" s="14">
        <v>862</v>
      </c>
      <c r="B11" s="14">
        <v>202002</v>
      </c>
      <c r="C11" s="15"/>
      <c r="D11" s="15"/>
      <c r="E11" s="15"/>
      <c r="F11"/>
      <c r="G11"/>
      <c r="H11"/>
      <c r="I11"/>
      <c r="J11"/>
      <c r="K11"/>
      <c r="L11"/>
      <c r="M11"/>
      <c r="N11">
        <v>709</v>
      </c>
      <c r="O11">
        <v>771</v>
      </c>
      <c r="P11">
        <v>786</v>
      </c>
      <c r="Q11">
        <v>792</v>
      </c>
      <c r="R11">
        <v>796</v>
      </c>
      <c r="S11">
        <v>800</v>
      </c>
      <c r="T11">
        <v>807</v>
      </c>
      <c r="U11">
        <v>810</v>
      </c>
      <c r="V11">
        <v>812</v>
      </c>
      <c r="W11">
        <v>813</v>
      </c>
      <c r="X11">
        <v>822</v>
      </c>
      <c r="Y11">
        <v>839</v>
      </c>
      <c r="Z11">
        <v>846</v>
      </c>
      <c r="AA11">
        <v>855</v>
      </c>
      <c r="AB11">
        <v>862</v>
      </c>
      <c r="AC11">
        <v>862</v>
      </c>
    </row>
    <row r="12" spans="1:30" s="14" customFormat="1" x14ac:dyDescent="0.3">
      <c r="B12" s="14">
        <v>202102</v>
      </c>
      <c r="C12" s="15"/>
      <c r="D12">
        <v>121</v>
      </c>
      <c r="E12">
        <v>189</v>
      </c>
      <c r="F12">
        <v>230</v>
      </c>
      <c r="G12">
        <v>258</v>
      </c>
      <c r="H12">
        <v>309</v>
      </c>
      <c r="I12">
        <v>359</v>
      </c>
      <c r="J12">
        <v>419</v>
      </c>
      <c r="K12">
        <v>475</v>
      </c>
      <c r="L12">
        <v>539</v>
      </c>
      <c r="M12">
        <v>591</v>
      </c>
      <c r="N12">
        <v>659</v>
      </c>
      <c r="O12">
        <v>746</v>
      </c>
      <c r="P12">
        <v>759</v>
      </c>
      <c r="Q12">
        <v>769</v>
      </c>
      <c r="R12">
        <v>774</v>
      </c>
      <c r="S12"/>
      <c r="T12"/>
      <c r="U12"/>
      <c r="V12"/>
      <c r="W12"/>
      <c r="X12"/>
      <c r="Y12"/>
      <c r="Z12"/>
      <c r="AA12"/>
      <c r="AB12"/>
      <c r="AC12"/>
    </row>
    <row r="13" spans="1:30" s="14" customFormat="1" x14ac:dyDescent="0.3">
      <c r="B13" s="34" t="s">
        <v>79</v>
      </c>
      <c r="C13" s="45">
        <v>44242</v>
      </c>
      <c r="D13" s="45">
        <v>44249</v>
      </c>
      <c r="E13" s="45">
        <v>44256</v>
      </c>
      <c r="F13" s="45">
        <v>44263</v>
      </c>
      <c r="G13" s="45">
        <v>44270</v>
      </c>
      <c r="H13" s="45">
        <v>44277</v>
      </c>
      <c r="I13" s="45">
        <v>44284</v>
      </c>
      <c r="J13" s="45">
        <v>44291</v>
      </c>
      <c r="K13" s="45">
        <v>44298</v>
      </c>
      <c r="L13" s="45">
        <v>44305</v>
      </c>
      <c r="M13" s="45">
        <v>44312</v>
      </c>
      <c r="N13" s="45">
        <v>44319</v>
      </c>
      <c r="O13" s="45">
        <v>44326</v>
      </c>
      <c r="P13" s="45">
        <v>44333</v>
      </c>
      <c r="Q13" s="45">
        <v>44340</v>
      </c>
      <c r="R13" s="45">
        <v>44347</v>
      </c>
      <c r="S13" s="45">
        <v>44354</v>
      </c>
      <c r="T13" s="45">
        <v>44361</v>
      </c>
      <c r="U13" s="45">
        <v>44368</v>
      </c>
      <c r="V13" s="45">
        <v>44375</v>
      </c>
      <c r="W13" s="45">
        <v>44382</v>
      </c>
      <c r="X13" s="45">
        <v>44389</v>
      </c>
      <c r="Y13" s="45">
        <v>44396</v>
      </c>
      <c r="Z13" s="45">
        <v>44403</v>
      </c>
      <c r="AA13" s="45">
        <v>44410</v>
      </c>
      <c r="AB13" s="45">
        <v>44417</v>
      </c>
      <c r="AC13" s="45">
        <v>44424</v>
      </c>
      <c r="AD13" s="45"/>
    </row>
    <row r="14" spans="1:30" s="14" customFormat="1" x14ac:dyDescent="0.3">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row>
    <row r="17" spans="5:13" x14ac:dyDescent="0.3">
      <c r="E17" t="s">
        <v>80</v>
      </c>
      <c r="F17"/>
      <c r="G17"/>
      <c r="H17"/>
      <c r="I17"/>
      <c r="J17"/>
      <c r="K17"/>
      <c r="L17"/>
      <c r="M17"/>
    </row>
    <row r="18" spans="5:13" ht="15" thickBot="1" x14ac:dyDescent="0.35">
      <c r="E18"/>
      <c r="F18"/>
      <c r="G18"/>
      <c r="H18"/>
      <c r="I18"/>
      <c r="J18"/>
      <c r="K18"/>
      <c r="L18"/>
      <c r="M18"/>
    </row>
    <row r="19" spans="5:13" x14ac:dyDescent="0.3">
      <c r="E19" s="19" t="s">
        <v>81</v>
      </c>
      <c r="F19" s="19"/>
      <c r="G19"/>
      <c r="H19"/>
      <c r="I19"/>
      <c r="J19"/>
      <c r="K19"/>
      <c r="L19"/>
      <c r="M19"/>
    </row>
    <row r="20" spans="5:13" x14ac:dyDescent="0.3">
      <c r="E20" s="20" t="s">
        <v>82</v>
      </c>
      <c r="F20" s="20">
        <v>0.94860699307700491</v>
      </c>
      <c r="G20"/>
      <c r="H20"/>
      <c r="I20"/>
      <c r="J20"/>
      <c r="K20"/>
      <c r="L20"/>
      <c r="M20"/>
    </row>
    <row r="21" spans="5:13" x14ac:dyDescent="0.3">
      <c r="E21" s="20" t="s">
        <v>83</v>
      </c>
      <c r="F21" s="20">
        <v>0.89985522731459688</v>
      </c>
      <c r="G21"/>
      <c r="H21"/>
      <c r="I21"/>
      <c r="J21"/>
      <c r="K21"/>
      <c r="L21"/>
      <c r="M21"/>
    </row>
    <row r="22" spans="5:13" x14ac:dyDescent="0.3">
      <c r="E22" s="20" t="s">
        <v>84</v>
      </c>
      <c r="F22" s="20">
        <v>0.88733713072892151</v>
      </c>
      <c r="G22"/>
      <c r="H22"/>
      <c r="I22"/>
      <c r="J22"/>
      <c r="K22"/>
      <c r="L22"/>
      <c r="M22"/>
    </row>
    <row r="23" spans="5:13" x14ac:dyDescent="0.3">
      <c r="E23" s="20" t="s">
        <v>85</v>
      </c>
      <c r="F23" s="20">
        <v>85.143944946092645</v>
      </c>
      <c r="G23"/>
      <c r="H23"/>
      <c r="I23"/>
      <c r="J23"/>
      <c r="K23"/>
      <c r="L23"/>
      <c r="M23"/>
    </row>
    <row r="24" spans="5:13" ht="15" thickBot="1" x14ac:dyDescent="0.35">
      <c r="E24" s="21" t="s">
        <v>86</v>
      </c>
      <c r="F24" s="21">
        <v>10</v>
      </c>
      <c r="G24"/>
      <c r="H24"/>
      <c r="I24"/>
      <c r="J24"/>
      <c r="K24"/>
      <c r="L24"/>
      <c r="M24"/>
    </row>
    <row r="25" spans="5:13" x14ac:dyDescent="0.3">
      <c r="E25"/>
      <c r="F25"/>
      <c r="G25"/>
      <c r="H25"/>
      <c r="I25"/>
      <c r="J25"/>
      <c r="K25"/>
      <c r="L25"/>
      <c r="M25"/>
    </row>
    <row r="26" spans="5:13" ht="15" thickBot="1" x14ac:dyDescent="0.35">
      <c r="E26" t="s">
        <v>87</v>
      </c>
      <c r="F26"/>
      <c r="G26"/>
      <c r="H26"/>
      <c r="I26"/>
      <c r="J26"/>
      <c r="K26"/>
      <c r="L26"/>
      <c r="M26"/>
    </row>
    <row r="27" spans="5:13" x14ac:dyDescent="0.3">
      <c r="E27" s="22"/>
      <c r="F27" s="22" t="s">
        <v>88</v>
      </c>
      <c r="G27" s="22" t="s">
        <v>89</v>
      </c>
      <c r="H27" s="22" t="s">
        <v>90</v>
      </c>
      <c r="I27" s="22" t="s">
        <v>91</v>
      </c>
      <c r="J27" s="22" t="s">
        <v>92</v>
      </c>
      <c r="K27"/>
      <c r="L27"/>
      <c r="M27"/>
    </row>
    <row r="28" spans="5:13" x14ac:dyDescent="0.3">
      <c r="E28" s="20" t="s">
        <v>93</v>
      </c>
      <c r="F28" s="20">
        <v>1</v>
      </c>
      <c r="G28" s="20">
        <v>521124.96911213384</v>
      </c>
      <c r="H28" s="20">
        <v>521124.96911213384</v>
      </c>
      <c r="I28" s="20">
        <v>71.884349282327193</v>
      </c>
      <c r="J28" s="20">
        <v>2.867842859030178E-5</v>
      </c>
      <c r="K28"/>
      <c r="L28"/>
      <c r="M28"/>
    </row>
    <row r="29" spans="5:13" x14ac:dyDescent="0.3">
      <c r="E29" s="20" t="s">
        <v>94</v>
      </c>
      <c r="F29" s="20">
        <v>8</v>
      </c>
      <c r="G29" s="20">
        <v>57995.930887866045</v>
      </c>
      <c r="H29" s="20">
        <v>7249.4913609832556</v>
      </c>
      <c r="I29" s="20"/>
      <c r="J29" s="20"/>
      <c r="K29"/>
      <c r="L29"/>
      <c r="M29"/>
    </row>
    <row r="30" spans="5:13" ht="15" thickBot="1" x14ac:dyDescent="0.35">
      <c r="E30" s="21" t="s">
        <v>95</v>
      </c>
      <c r="F30" s="21">
        <v>9</v>
      </c>
      <c r="G30" s="21">
        <v>579120.89999999991</v>
      </c>
      <c r="H30" s="21"/>
      <c r="I30" s="21"/>
      <c r="J30" s="21"/>
      <c r="K30"/>
      <c r="L30"/>
      <c r="M30"/>
    </row>
    <row r="31" spans="5:13" ht="15" thickBot="1" x14ac:dyDescent="0.35">
      <c r="E31"/>
      <c r="F31"/>
      <c r="G31"/>
      <c r="H31"/>
      <c r="I31"/>
      <c r="J31"/>
      <c r="K31"/>
      <c r="L31"/>
      <c r="M31"/>
    </row>
    <row r="32" spans="5:13" x14ac:dyDescent="0.3">
      <c r="E32" s="22"/>
      <c r="F32" s="22" t="s">
        <v>96</v>
      </c>
      <c r="G32" s="22" t="s">
        <v>85</v>
      </c>
      <c r="H32" s="22" t="s">
        <v>97</v>
      </c>
      <c r="I32" s="22" t="s">
        <v>98</v>
      </c>
      <c r="J32" s="22" t="s">
        <v>99</v>
      </c>
      <c r="K32" s="22" t="s">
        <v>100</v>
      </c>
      <c r="L32" s="22" t="s">
        <v>101</v>
      </c>
      <c r="M32" s="22" t="s">
        <v>102</v>
      </c>
    </row>
    <row r="33" spans="1:13" x14ac:dyDescent="0.3">
      <c r="E33" s="20" t="s">
        <v>103</v>
      </c>
      <c r="F33" s="20">
        <v>-73.327480725991336</v>
      </c>
      <c r="G33" s="20">
        <v>158.02606830715686</v>
      </c>
      <c r="H33" s="20">
        <v>-0.46402142071562502</v>
      </c>
      <c r="I33" s="20">
        <v>0.65499745049848601</v>
      </c>
      <c r="J33" s="20">
        <v>-437.73624771235126</v>
      </c>
      <c r="K33" s="20">
        <v>291.08128626036859</v>
      </c>
      <c r="L33" s="20">
        <v>-437.73624771235126</v>
      </c>
      <c r="M33" s="20">
        <v>291.08128626036859</v>
      </c>
    </row>
    <row r="34" spans="1:13" ht="15" thickBot="1" x14ac:dyDescent="0.35">
      <c r="E34" s="21" t="s">
        <v>69</v>
      </c>
      <c r="F34" s="21">
        <v>1.2114401548228955</v>
      </c>
      <c r="G34" s="21">
        <v>0.14288439227101324</v>
      </c>
      <c r="H34" s="21">
        <v>8.4784638515669339</v>
      </c>
      <c r="I34" s="21">
        <v>2.867842859030178E-5</v>
      </c>
      <c r="J34" s="21">
        <v>0.88194815538980453</v>
      </c>
      <c r="K34" s="21">
        <v>1.5409321542559864</v>
      </c>
      <c r="L34" s="21">
        <v>0.88194815538980453</v>
      </c>
      <c r="M34" s="21">
        <v>1.5409321542559864</v>
      </c>
    </row>
    <row r="35" spans="1:13" x14ac:dyDescent="0.3">
      <c r="E35"/>
      <c r="F35"/>
      <c r="G35"/>
      <c r="H35"/>
      <c r="I35"/>
      <c r="J35"/>
      <c r="K35"/>
      <c r="L35"/>
      <c r="M35"/>
    </row>
    <row r="36" spans="1:13" x14ac:dyDescent="0.3">
      <c r="A36" s="18" t="str">
        <f>CONCATENATE("Regression equation is: ", F33, " + ", E34, " * ", F34)</f>
        <v>Regression equation is: -73.3274807259913 + week 16 * 1.2114401548229</v>
      </c>
      <c r="B36" s="23"/>
      <c r="E36"/>
      <c r="F36"/>
      <c r="G36"/>
      <c r="H36"/>
      <c r="I36"/>
      <c r="J36"/>
      <c r="K36"/>
      <c r="L36"/>
      <c r="M36"/>
    </row>
    <row r="37" spans="1:13" x14ac:dyDescent="0.3">
      <c r="B37" s="23"/>
      <c r="E37"/>
      <c r="F37"/>
      <c r="G37"/>
      <c r="H37"/>
      <c r="I37"/>
      <c r="J37"/>
      <c r="K37"/>
      <c r="L37"/>
      <c r="M37"/>
    </row>
    <row r="38" spans="1:13" x14ac:dyDescent="0.3">
      <c r="B38" s="23"/>
      <c r="E38" s="24" t="s">
        <v>104</v>
      </c>
      <c r="F38" s="25">
        <f>AVERAGE(R2:R11)</f>
        <v>1089.8</v>
      </c>
      <c r="H38" s="26" t="s">
        <v>105</v>
      </c>
      <c r="I38" s="27">
        <v>0.9</v>
      </c>
      <c r="J38" s="26" t="s">
        <v>106</v>
      </c>
      <c r="K38" s="28">
        <f>1-I38</f>
        <v>9.9999999999999978E-2</v>
      </c>
    </row>
    <row r="39" spans="1:13" x14ac:dyDescent="0.3">
      <c r="B39" s="23"/>
      <c r="E39" s="24" t="s">
        <v>107</v>
      </c>
      <c r="F39" s="18">
        <f>STDEV(R2:R11)</f>
        <v>198.63131676550896</v>
      </c>
    </row>
    <row r="40" spans="1:13" x14ac:dyDescent="0.3">
      <c r="B40" s="23"/>
      <c r="E40" s="24"/>
    </row>
    <row r="41" spans="1:13" x14ac:dyDescent="0.3">
      <c r="B41" s="23"/>
      <c r="E41" s="29" t="s">
        <v>108</v>
      </c>
      <c r="F41" s="30" t="s">
        <v>109</v>
      </c>
      <c r="G41" s="30" t="s">
        <v>110</v>
      </c>
      <c r="H41" s="30" t="s">
        <v>111</v>
      </c>
      <c r="I41" s="30" t="s">
        <v>112</v>
      </c>
      <c r="J41" s="30" t="s">
        <v>113</v>
      </c>
      <c r="K41" s="30" t="s">
        <v>114</v>
      </c>
    </row>
    <row r="42" spans="1:13" x14ac:dyDescent="0.3">
      <c r="B42" s="23"/>
      <c r="E42">
        <v>774</v>
      </c>
      <c r="F42" s="31">
        <f>TINV(K38, F29)</f>
        <v>1.8595480375308981</v>
      </c>
      <c r="G42" s="31">
        <f>F23*SQRT(1+1/F24+(E42-F38)^2/F39^2/F30)</f>
        <v>100.05256516664461</v>
      </c>
      <c r="H42" s="31">
        <f>F42*G42</f>
        <v>186.05255120556629</v>
      </c>
      <c r="I42" s="32">
        <f>J42-H42</f>
        <v>678.27464790136355</v>
      </c>
      <c r="J42" s="32">
        <f>F33+E42*F34</f>
        <v>864.32719910692981</v>
      </c>
      <c r="K42" s="32">
        <f>J42+H42</f>
        <v>1050.3797503124961</v>
      </c>
    </row>
  </sheetData>
  <sortState ref="A2:AD12">
    <sortCondition ref="B2:B12"/>
  </sortState>
  <pageMargins left="0.7" right="0.7"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
  <sheetViews>
    <sheetView zoomScale="70" zoomScaleNormal="70" zoomScalePageLayoutView="90" workbookViewId="0">
      <pane xSplit="14" topLeftCell="O1" activePane="topRight" state="frozen"/>
      <selection activeCell="T26" sqref="T26"/>
      <selection pane="topRight" activeCell="E17" sqref="E17:M37"/>
    </sheetView>
  </sheetViews>
  <sheetFormatPr defaultColWidth="7.109375" defaultRowHeight="14.4" x14ac:dyDescent="0.3"/>
  <cols>
    <col min="1" max="1" width="9.44140625" style="18" customWidth="1"/>
    <col min="2" max="2" width="9.109375" style="23" bestFit="1" customWidth="1"/>
    <col min="3" max="4" width="11.109375" style="18" customWidth="1"/>
    <col min="5" max="5" width="16.109375" style="18" customWidth="1"/>
    <col min="6" max="6" width="12" style="18" bestFit="1" customWidth="1"/>
    <col min="7" max="7" width="14.44140625" style="18" bestFit="1" customWidth="1"/>
    <col min="8" max="8" width="13.109375" style="18" bestFit="1" customWidth="1"/>
    <col min="9" max="9" width="12" style="18" bestFit="1" customWidth="1"/>
    <col min="10" max="10" width="13.44140625" style="18" bestFit="1" customWidth="1"/>
    <col min="11" max="11" width="12" style="18" bestFit="1" customWidth="1"/>
    <col min="12" max="12" width="12.77734375" style="18" bestFit="1" customWidth="1"/>
    <col min="13" max="13" width="12.44140625" style="18" bestFit="1" customWidth="1"/>
    <col min="14" max="27" width="11.109375" style="18" customWidth="1"/>
    <col min="28" max="29" width="10.44140625" style="18" bestFit="1" customWidth="1"/>
    <col min="30" max="30" width="9.77734375" style="18" bestFit="1" customWidth="1"/>
    <col min="31" max="16384" width="7.109375" style="18"/>
  </cols>
  <sheetData>
    <row r="1" spans="1:30" s="34" customFormat="1" x14ac:dyDescent="0.3">
      <c r="A1" s="34" t="s">
        <v>52</v>
      </c>
      <c r="B1" s="35" t="s">
        <v>53</v>
      </c>
      <c r="C1" s="34" t="s">
        <v>54</v>
      </c>
      <c r="D1" s="34" t="s">
        <v>55</v>
      </c>
      <c r="E1" s="34" t="s">
        <v>56</v>
      </c>
      <c r="F1" s="34" t="s">
        <v>57</v>
      </c>
      <c r="G1" s="34" t="s">
        <v>58</v>
      </c>
      <c r="H1" s="34" t="s">
        <v>59</v>
      </c>
      <c r="I1" s="34" t="s">
        <v>60</v>
      </c>
      <c r="J1" s="34" t="s">
        <v>61</v>
      </c>
      <c r="K1" s="34" t="s">
        <v>62</v>
      </c>
      <c r="L1" s="34" t="s">
        <v>63</v>
      </c>
      <c r="M1" s="34" t="s">
        <v>64</v>
      </c>
      <c r="N1" s="34" t="s">
        <v>65</v>
      </c>
      <c r="O1" s="34" t="s">
        <v>66</v>
      </c>
      <c r="P1" s="34" t="s">
        <v>67</v>
      </c>
      <c r="Q1" s="34" t="s">
        <v>68</v>
      </c>
      <c r="R1" s="34" t="s">
        <v>69</v>
      </c>
      <c r="S1" s="34" t="s">
        <v>70</v>
      </c>
      <c r="T1" s="34" t="s">
        <v>71</v>
      </c>
      <c r="U1" s="34" t="s">
        <v>72</v>
      </c>
      <c r="V1" s="34" t="s">
        <v>73</v>
      </c>
      <c r="W1" s="34" t="s">
        <v>74</v>
      </c>
      <c r="X1" s="34" t="s">
        <v>75</v>
      </c>
      <c r="Y1" s="34" t="s">
        <v>76</v>
      </c>
      <c r="Z1" s="34" t="s">
        <v>77</v>
      </c>
      <c r="AA1" s="34" t="s">
        <v>78</v>
      </c>
      <c r="AB1" s="34" t="s">
        <v>115</v>
      </c>
      <c r="AC1" s="34" t="s">
        <v>116</v>
      </c>
    </row>
    <row r="2" spans="1:30" s="34" customFormat="1" x14ac:dyDescent="0.3">
      <c r="A2" s="37">
        <v>13467</v>
      </c>
      <c r="B2" s="34">
        <v>201102</v>
      </c>
      <c r="C2" s="36">
        <v>1757</v>
      </c>
      <c r="D2" s="36">
        <v>3510</v>
      </c>
      <c r="E2" s="36">
        <v>4387</v>
      </c>
      <c r="F2" s="36">
        <v>5109</v>
      </c>
      <c r="G2" s="36">
        <v>5826</v>
      </c>
      <c r="H2" s="36">
        <v>6708</v>
      </c>
      <c r="I2" s="36">
        <v>7599</v>
      </c>
      <c r="J2" s="36">
        <v>8200</v>
      </c>
      <c r="K2" s="36">
        <v>8741</v>
      </c>
      <c r="L2" s="36">
        <v>9294</v>
      </c>
      <c r="M2" s="36">
        <v>9736</v>
      </c>
      <c r="N2" s="36">
        <v>10454</v>
      </c>
      <c r="O2" s="36">
        <v>10501</v>
      </c>
      <c r="P2" s="36">
        <v>10754</v>
      </c>
      <c r="Q2" s="36">
        <v>11782</v>
      </c>
      <c r="R2" s="36">
        <v>12373</v>
      </c>
      <c r="S2" s="36">
        <v>12587</v>
      </c>
      <c r="T2" s="36">
        <v>12697</v>
      </c>
      <c r="U2" s="36">
        <v>12762</v>
      </c>
      <c r="V2" s="36">
        <v>12881</v>
      </c>
      <c r="W2" s="36">
        <v>12973</v>
      </c>
      <c r="X2" s="36">
        <v>13001</v>
      </c>
      <c r="Y2" s="36">
        <v>13189</v>
      </c>
      <c r="Z2" s="36">
        <v>13278</v>
      </c>
      <c r="AA2" s="34">
        <v>13390</v>
      </c>
      <c r="AB2" s="34">
        <v>13429</v>
      </c>
      <c r="AC2" s="36">
        <v>13433</v>
      </c>
      <c r="AD2" s="34">
        <v>13458</v>
      </c>
    </row>
    <row r="3" spans="1:30" s="34" customFormat="1" x14ac:dyDescent="0.3">
      <c r="A3" s="37">
        <v>12973</v>
      </c>
      <c r="B3" s="34">
        <v>201202</v>
      </c>
      <c r="C3" s="36"/>
      <c r="D3" s="36"/>
      <c r="E3" s="36">
        <v>4530</v>
      </c>
      <c r="F3" s="36">
        <v>5041</v>
      </c>
      <c r="G3" s="36">
        <v>5841</v>
      </c>
      <c r="H3" s="36">
        <v>6709</v>
      </c>
      <c r="I3" s="36">
        <v>7583</v>
      </c>
      <c r="J3" s="36">
        <v>8249</v>
      </c>
      <c r="K3" s="36">
        <v>8822</v>
      </c>
      <c r="L3" s="36">
        <v>9314</v>
      </c>
      <c r="M3" s="36">
        <v>9830</v>
      </c>
      <c r="N3" s="36">
        <v>10261</v>
      </c>
      <c r="O3" s="36">
        <v>11427</v>
      </c>
      <c r="P3" s="36">
        <v>11438</v>
      </c>
      <c r="Q3" s="36">
        <v>11763</v>
      </c>
      <c r="R3" s="36">
        <v>12054</v>
      </c>
      <c r="S3" s="36">
        <v>12186</v>
      </c>
      <c r="T3" s="36">
        <v>12308</v>
      </c>
      <c r="U3" s="36">
        <v>12346</v>
      </c>
      <c r="V3" s="36">
        <v>12404</v>
      </c>
      <c r="W3" s="36">
        <v>12509</v>
      </c>
      <c r="X3" s="36">
        <v>12658</v>
      </c>
      <c r="Y3" s="36">
        <v>12755</v>
      </c>
      <c r="Z3" s="36">
        <v>12786</v>
      </c>
      <c r="AA3" s="34">
        <v>12814</v>
      </c>
      <c r="AB3" s="34">
        <v>12865</v>
      </c>
      <c r="AC3" s="34">
        <v>12955</v>
      </c>
    </row>
    <row r="4" spans="1:30" s="34" customFormat="1" x14ac:dyDescent="0.3">
      <c r="A4" s="37">
        <v>12419</v>
      </c>
      <c r="B4" s="34">
        <v>201302</v>
      </c>
      <c r="C4" s="36"/>
      <c r="D4" s="36"/>
      <c r="E4" s="36"/>
      <c r="F4" s="36">
        <v>4788</v>
      </c>
      <c r="G4" s="36">
        <v>5637</v>
      </c>
      <c r="H4" s="36">
        <v>6428</v>
      </c>
      <c r="I4" s="36">
        <v>7302</v>
      </c>
      <c r="J4" s="36">
        <v>7964</v>
      </c>
      <c r="K4" s="36">
        <v>8527</v>
      </c>
      <c r="L4" s="36">
        <v>9065</v>
      </c>
      <c r="M4" s="36">
        <v>9579</v>
      </c>
      <c r="N4" s="36">
        <v>9992</v>
      </c>
      <c r="O4" s="36">
        <v>11073</v>
      </c>
      <c r="P4" s="36">
        <v>11064</v>
      </c>
      <c r="Q4" s="36">
        <v>11371</v>
      </c>
      <c r="R4" s="36">
        <v>11606</v>
      </c>
      <c r="S4" s="36">
        <v>11705</v>
      </c>
      <c r="T4" s="36">
        <v>11829</v>
      </c>
      <c r="U4" s="36">
        <v>11870</v>
      </c>
      <c r="V4" s="36">
        <v>11947</v>
      </c>
      <c r="W4" s="36">
        <v>12043</v>
      </c>
      <c r="X4" s="36">
        <v>12097</v>
      </c>
      <c r="Y4" s="36">
        <v>12126</v>
      </c>
      <c r="Z4" s="36">
        <v>12249</v>
      </c>
      <c r="AA4" s="34">
        <v>12307</v>
      </c>
      <c r="AB4" s="34">
        <v>12383</v>
      </c>
      <c r="AC4" s="34">
        <v>12411</v>
      </c>
    </row>
    <row r="5" spans="1:30" s="34" customFormat="1" x14ac:dyDescent="0.3">
      <c r="A5" s="37">
        <v>12258</v>
      </c>
      <c r="B5" s="34">
        <v>201402</v>
      </c>
      <c r="C5" s="38"/>
      <c r="D5" s="36">
        <v>3206</v>
      </c>
      <c r="E5" s="36">
        <v>4151</v>
      </c>
      <c r="F5" s="38">
        <v>4752</v>
      </c>
      <c r="G5" s="36">
        <v>5453</v>
      </c>
      <c r="H5" s="34">
        <v>6231</v>
      </c>
      <c r="I5" s="34">
        <v>6945</v>
      </c>
      <c r="J5" s="34">
        <v>7733</v>
      </c>
      <c r="K5" s="34">
        <v>8248</v>
      </c>
      <c r="L5" s="34">
        <v>8762</v>
      </c>
      <c r="M5" s="34">
        <v>9239</v>
      </c>
      <c r="N5" s="34">
        <v>9590</v>
      </c>
      <c r="O5" s="38">
        <v>10461</v>
      </c>
      <c r="P5" s="34">
        <v>10433</v>
      </c>
      <c r="Q5" s="34">
        <v>10875</v>
      </c>
      <c r="R5" s="34">
        <v>11312</v>
      </c>
      <c r="S5" s="34">
        <v>11605</v>
      </c>
      <c r="T5" s="34">
        <v>11693</v>
      </c>
      <c r="U5" s="34">
        <v>11747</v>
      </c>
      <c r="V5" s="34">
        <v>11759</v>
      </c>
      <c r="W5" s="34">
        <v>11853</v>
      </c>
      <c r="X5" s="34">
        <v>11924</v>
      </c>
      <c r="Y5" s="34">
        <v>11977</v>
      </c>
      <c r="Z5" s="34">
        <v>12072</v>
      </c>
      <c r="AA5" s="34">
        <v>12143</v>
      </c>
      <c r="AB5" s="34">
        <v>12149</v>
      </c>
      <c r="AC5" s="34">
        <v>12169</v>
      </c>
    </row>
    <row r="6" spans="1:30" s="34" customFormat="1" x14ac:dyDescent="0.3">
      <c r="A6" s="37">
        <v>11947</v>
      </c>
      <c r="B6" s="34">
        <v>201502</v>
      </c>
      <c r="C6" s="38"/>
      <c r="D6" s="36"/>
      <c r="E6" s="36"/>
      <c r="F6" s="38">
        <v>4349</v>
      </c>
      <c r="G6" s="36">
        <v>5020</v>
      </c>
      <c r="H6" s="34">
        <v>5920</v>
      </c>
      <c r="I6" s="34">
        <v>6634</v>
      </c>
      <c r="J6" s="34">
        <v>7396</v>
      </c>
      <c r="K6" s="34">
        <v>8493</v>
      </c>
      <c r="L6" s="34">
        <v>9140</v>
      </c>
      <c r="M6" s="38">
        <v>9803</v>
      </c>
      <c r="N6" s="34">
        <v>10327</v>
      </c>
      <c r="O6" s="38">
        <v>10614</v>
      </c>
      <c r="P6" s="34">
        <v>10680</v>
      </c>
      <c r="Q6" s="34">
        <v>11016</v>
      </c>
      <c r="R6" s="34">
        <v>11266</v>
      </c>
      <c r="S6" s="34">
        <v>11387</v>
      </c>
      <c r="T6" s="34">
        <v>11467</v>
      </c>
      <c r="U6" s="34">
        <v>11498</v>
      </c>
      <c r="V6" s="34">
        <v>11492</v>
      </c>
      <c r="W6" s="34">
        <v>11586</v>
      </c>
      <c r="X6" s="34">
        <v>11641</v>
      </c>
      <c r="Y6" s="34">
        <v>11677</v>
      </c>
      <c r="Z6" s="34">
        <v>11789</v>
      </c>
      <c r="AA6" s="34">
        <v>11861</v>
      </c>
      <c r="AB6" s="34">
        <v>11923</v>
      </c>
      <c r="AC6" s="34">
        <v>11943</v>
      </c>
    </row>
    <row r="7" spans="1:30" s="34" customFormat="1" x14ac:dyDescent="0.3">
      <c r="A7" s="34">
        <v>11547</v>
      </c>
      <c r="B7" s="34">
        <v>201602</v>
      </c>
      <c r="C7" s="36">
        <v>1389</v>
      </c>
      <c r="D7" s="36">
        <v>3034</v>
      </c>
      <c r="E7" s="36">
        <v>3930</v>
      </c>
      <c r="F7" s="38">
        <v>4551</v>
      </c>
      <c r="G7" s="36">
        <v>4987</v>
      </c>
      <c r="H7" s="34">
        <v>5697</v>
      </c>
      <c r="I7" s="34">
        <v>6396</v>
      </c>
      <c r="J7" s="34">
        <v>7470</v>
      </c>
      <c r="K7" s="34">
        <v>8194</v>
      </c>
      <c r="L7" s="34">
        <v>8729</v>
      </c>
      <c r="M7" s="34">
        <v>9283</v>
      </c>
      <c r="N7" s="38">
        <v>9846</v>
      </c>
      <c r="O7" s="34">
        <v>10147</v>
      </c>
      <c r="P7" s="38">
        <v>10214</v>
      </c>
      <c r="Q7" s="34">
        <v>10414</v>
      </c>
      <c r="R7" s="34">
        <v>10862</v>
      </c>
      <c r="S7" s="34">
        <v>10985</v>
      </c>
      <c r="T7">
        <v>11115</v>
      </c>
      <c r="U7">
        <v>11181</v>
      </c>
      <c r="V7">
        <v>11220</v>
      </c>
      <c r="W7">
        <v>11245</v>
      </c>
      <c r="X7">
        <v>11377</v>
      </c>
      <c r="Y7">
        <v>11394</v>
      </c>
      <c r="Z7">
        <v>11420</v>
      </c>
      <c r="AA7">
        <v>11481</v>
      </c>
      <c r="AB7">
        <v>11523</v>
      </c>
      <c r="AC7">
        <v>11539</v>
      </c>
    </row>
    <row r="8" spans="1:30" s="14" customFormat="1" x14ac:dyDescent="0.3">
      <c r="A8" s="14">
        <v>10772</v>
      </c>
      <c r="B8" s="14">
        <v>201702</v>
      </c>
      <c r="C8" s="15"/>
      <c r="D8" s="15"/>
      <c r="E8" s="15">
        <v>3230</v>
      </c>
      <c r="F8">
        <v>3842</v>
      </c>
      <c r="G8">
        <v>4249</v>
      </c>
      <c r="H8">
        <v>4881</v>
      </c>
      <c r="I8">
        <v>5517</v>
      </c>
      <c r="J8">
        <v>6181</v>
      </c>
      <c r="K8">
        <v>6803</v>
      </c>
      <c r="L8">
        <v>7644</v>
      </c>
      <c r="M8">
        <v>8341</v>
      </c>
      <c r="N8">
        <v>8892</v>
      </c>
      <c r="O8">
        <v>9371</v>
      </c>
      <c r="P8">
        <v>9580</v>
      </c>
      <c r="Q8">
        <v>9790</v>
      </c>
      <c r="R8">
        <v>10027</v>
      </c>
      <c r="S8">
        <v>10140</v>
      </c>
      <c r="T8">
        <v>10273</v>
      </c>
      <c r="U8">
        <v>10338</v>
      </c>
      <c r="V8">
        <v>10361</v>
      </c>
      <c r="W8">
        <v>10419</v>
      </c>
      <c r="X8">
        <v>10478</v>
      </c>
      <c r="Y8">
        <v>10530</v>
      </c>
      <c r="Z8">
        <v>10647</v>
      </c>
      <c r="AA8">
        <v>10698</v>
      </c>
      <c r="AB8">
        <v>10735</v>
      </c>
      <c r="AC8">
        <v>10768</v>
      </c>
    </row>
    <row r="9" spans="1:30" s="14" customFormat="1" x14ac:dyDescent="0.3">
      <c r="A9" s="14">
        <v>10557</v>
      </c>
      <c r="B9" s="14">
        <v>201802</v>
      </c>
      <c r="C9" s="15"/>
      <c r="D9" s="15"/>
      <c r="E9" s="15"/>
      <c r="F9" s="38"/>
      <c r="G9" s="46">
        <v>3851</v>
      </c>
      <c r="H9">
        <v>4436</v>
      </c>
      <c r="I9">
        <v>5017</v>
      </c>
      <c r="J9">
        <v>5666</v>
      </c>
      <c r="K9">
        <v>6170</v>
      </c>
      <c r="L9">
        <v>7099</v>
      </c>
      <c r="M9">
        <v>7674</v>
      </c>
      <c r="N9">
        <v>8297</v>
      </c>
      <c r="O9">
        <v>8837</v>
      </c>
      <c r="P9">
        <v>9147</v>
      </c>
      <c r="Q9">
        <v>9357</v>
      </c>
      <c r="R9">
        <v>9542</v>
      </c>
      <c r="S9">
        <v>9677</v>
      </c>
      <c r="T9">
        <v>9816</v>
      </c>
      <c r="U9">
        <v>9939</v>
      </c>
      <c r="V9">
        <v>9972</v>
      </c>
      <c r="W9">
        <v>9991</v>
      </c>
      <c r="X9">
        <v>10119</v>
      </c>
      <c r="Y9">
        <v>10223</v>
      </c>
      <c r="Z9">
        <v>10338</v>
      </c>
      <c r="AA9">
        <v>10411</v>
      </c>
      <c r="AB9">
        <v>10452</v>
      </c>
      <c r="AC9">
        <v>10499</v>
      </c>
    </row>
    <row r="10" spans="1:30" s="14" customFormat="1" x14ac:dyDescent="0.3">
      <c r="A10" s="14">
        <v>9971</v>
      </c>
      <c r="B10" s="14">
        <v>201902</v>
      </c>
      <c r="C10" s="15"/>
      <c r="D10" s="15"/>
      <c r="E10" s="15"/>
      <c r="F10">
        <v>3106</v>
      </c>
      <c r="G10">
        <v>3475</v>
      </c>
      <c r="H10">
        <v>3986</v>
      </c>
      <c r="I10">
        <v>4656</v>
      </c>
      <c r="J10">
        <v>5423</v>
      </c>
      <c r="K10">
        <v>6059</v>
      </c>
      <c r="L10">
        <v>6596</v>
      </c>
      <c r="M10">
        <v>7208</v>
      </c>
      <c r="N10">
        <v>7716</v>
      </c>
      <c r="O10">
        <v>8213</v>
      </c>
      <c r="P10">
        <v>8511</v>
      </c>
      <c r="Q10">
        <v>8565</v>
      </c>
      <c r="R10">
        <v>8971</v>
      </c>
      <c r="S10">
        <v>9106</v>
      </c>
      <c r="T10">
        <v>9306</v>
      </c>
      <c r="U10">
        <v>9388</v>
      </c>
      <c r="V10">
        <v>9437</v>
      </c>
      <c r="W10">
        <v>9459</v>
      </c>
      <c r="X10">
        <v>9574</v>
      </c>
      <c r="Y10">
        <v>9617</v>
      </c>
      <c r="Z10">
        <v>9702</v>
      </c>
      <c r="AA10">
        <v>9775</v>
      </c>
      <c r="AB10">
        <v>9900</v>
      </c>
      <c r="AC10">
        <v>9931</v>
      </c>
    </row>
    <row r="11" spans="1:30" s="14" customFormat="1" x14ac:dyDescent="0.3">
      <c r="A11" s="14">
        <v>9252</v>
      </c>
      <c r="B11" s="14">
        <v>202002</v>
      </c>
      <c r="C11" s="15"/>
      <c r="D11" s="15"/>
      <c r="E11" s="15"/>
      <c r="F11"/>
      <c r="G11"/>
      <c r="H11"/>
      <c r="I11"/>
      <c r="J11"/>
      <c r="K11"/>
      <c r="L11"/>
      <c r="M11"/>
      <c r="N11">
        <v>6069</v>
      </c>
      <c r="O11">
        <v>6650</v>
      </c>
      <c r="P11">
        <v>7915</v>
      </c>
      <c r="Q11">
        <v>8115</v>
      </c>
      <c r="R11">
        <v>8316</v>
      </c>
      <c r="S11">
        <v>8466</v>
      </c>
      <c r="T11">
        <v>8595</v>
      </c>
      <c r="U11">
        <v>8627</v>
      </c>
      <c r="V11">
        <v>8769</v>
      </c>
      <c r="W11">
        <v>8773</v>
      </c>
      <c r="X11">
        <v>8807</v>
      </c>
      <c r="Y11">
        <v>8845</v>
      </c>
      <c r="Z11">
        <v>8953</v>
      </c>
      <c r="AA11">
        <v>9035</v>
      </c>
      <c r="AB11">
        <v>9161</v>
      </c>
      <c r="AC11">
        <v>9174</v>
      </c>
    </row>
    <row r="12" spans="1:30" s="14" customFormat="1" x14ac:dyDescent="0.3">
      <c r="B12" s="14">
        <v>202102</v>
      </c>
      <c r="C12" s="15"/>
      <c r="D12">
        <v>1409</v>
      </c>
      <c r="E12">
        <v>1801</v>
      </c>
      <c r="F12">
        <v>2142</v>
      </c>
      <c r="G12">
        <v>2447</v>
      </c>
      <c r="H12">
        <v>2864</v>
      </c>
      <c r="I12">
        <v>3357</v>
      </c>
      <c r="J12">
        <v>3841</v>
      </c>
      <c r="K12">
        <v>4381</v>
      </c>
      <c r="L12">
        <v>4765</v>
      </c>
      <c r="M12">
        <v>5175</v>
      </c>
      <c r="N12">
        <v>5625</v>
      </c>
      <c r="O12">
        <v>6057</v>
      </c>
      <c r="P12">
        <v>6372</v>
      </c>
      <c r="Q12">
        <v>6886</v>
      </c>
      <c r="R12">
        <v>7275</v>
      </c>
      <c r="S12"/>
      <c r="T12"/>
      <c r="U12"/>
      <c r="V12"/>
      <c r="W12"/>
      <c r="X12"/>
      <c r="Y12"/>
      <c r="Z12"/>
      <c r="AA12"/>
      <c r="AB12"/>
      <c r="AC12"/>
    </row>
    <row r="13" spans="1:30" s="14" customFormat="1" x14ac:dyDescent="0.3">
      <c r="B13" s="34" t="s">
        <v>79</v>
      </c>
      <c r="C13" s="45">
        <v>44242</v>
      </c>
      <c r="D13" s="45">
        <v>44249</v>
      </c>
      <c r="E13" s="45">
        <v>44256</v>
      </c>
      <c r="F13" s="45">
        <v>44263</v>
      </c>
      <c r="G13" s="45">
        <v>44270</v>
      </c>
      <c r="H13" s="45">
        <v>44277</v>
      </c>
      <c r="I13" s="45">
        <v>44284</v>
      </c>
      <c r="J13" s="45">
        <v>44291</v>
      </c>
      <c r="K13" s="45">
        <v>44298</v>
      </c>
      <c r="L13" s="45">
        <v>44305</v>
      </c>
      <c r="M13" s="45">
        <v>44312</v>
      </c>
      <c r="N13" s="45">
        <v>44319</v>
      </c>
      <c r="O13" s="45">
        <v>44326</v>
      </c>
      <c r="P13" s="45">
        <v>44333</v>
      </c>
      <c r="Q13" s="45">
        <v>44340</v>
      </c>
      <c r="R13" s="45">
        <v>44347</v>
      </c>
      <c r="S13" s="45">
        <v>44354</v>
      </c>
      <c r="T13" s="45">
        <v>44361</v>
      </c>
      <c r="U13" s="45">
        <v>44368</v>
      </c>
      <c r="V13" s="45">
        <v>44375</v>
      </c>
      <c r="W13" s="45">
        <v>44382</v>
      </c>
      <c r="X13" s="45">
        <v>44389</v>
      </c>
      <c r="Y13" s="45">
        <v>44396</v>
      </c>
      <c r="Z13" s="45">
        <v>44403</v>
      </c>
      <c r="AA13" s="45">
        <v>44410</v>
      </c>
      <c r="AB13" s="45">
        <v>44417</v>
      </c>
      <c r="AC13" s="45">
        <v>44424</v>
      </c>
      <c r="AD13" s="45"/>
    </row>
    <row r="14" spans="1:30" s="34" customFormat="1" x14ac:dyDescent="0.3">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row>
    <row r="15" spans="1:30" s="34" customFormat="1" x14ac:dyDescent="0.3">
      <c r="B15" s="35"/>
    </row>
    <row r="17" spans="5:13" x14ac:dyDescent="0.3">
      <c r="E17" t="s">
        <v>80</v>
      </c>
      <c r="F17"/>
      <c r="G17"/>
      <c r="H17"/>
      <c r="I17"/>
      <c r="J17"/>
      <c r="K17"/>
      <c r="L17"/>
      <c r="M17"/>
    </row>
    <row r="18" spans="5:13" ht="15" thickBot="1" x14ac:dyDescent="0.35">
      <c r="E18"/>
      <c r="F18"/>
      <c r="G18"/>
      <c r="H18"/>
      <c r="I18"/>
      <c r="J18"/>
      <c r="K18"/>
      <c r="L18"/>
      <c r="M18"/>
    </row>
    <row r="19" spans="5:13" x14ac:dyDescent="0.3">
      <c r="E19" s="19" t="s">
        <v>81</v>
      </c>
      <c r="F19" s="19"/>
      <c r="G19"/>
      <c r="H19"/>
      <c r="I19"/>
      <c r="J19"/>
      <c r="K19"/>
      <c r="L19"/>
      <c r="M19"/>
    </row>
    <row r="20" spans="5:13" x14ac:dyDescent="0.3">
      <c r="E20" s="20" t="s">
        <v>82</v>
      </c>
      <c r="F20" s="20">
        <v>0.99433183095095279</v>
      </c>
      <c r="G20"/>
      <c r="H20"/>
      <c r="I20"/>
      <c r="J20"/>
      <c r="K20"/>
      <c r="L20"/>
      <c r="M20"/>
    </row>
    <row r="21" spans="5:13" x14ac:dyDescent="0.3">
      <c r="E21" s="20" t="s">
        <v>83</v>
      </c>
      <c r="F21" s="20">
        <v>0.98869579004227415</v>
      </c>
      <c r="G21"/>
      <c r="H21"/>
      <c r="I21"/>
      <c r="J21"/>
      <c r="K21"/>
      <c r="L21"/>
      <c r="M21"/>
    </row>
    <row r="22" spans="5:13" x14ac:dyDescent="0.3">
      <c r="E22" s="20" t="s">
        <v>84</v>
      </c>
      <c r="F22" s="20">
        <v>0.98728276379755853</v>
      </c>
      <c r="G22"/>
      <c r="H22"/>
      <c r="I22"/>
      <c r="J22"/>
      <c r="K22"/>
      <c r="L22"/>
      <c r="M22"/>
    </row>
    <row r="23" spans="5:13" x14ac:dyDescent="0.3">
      <c r="E23" s="20" t="s">
        <v>85</v>
      </c>
      <c r="F23" s="20">
        <v>152.54359902068771</v>
      </c>
      <c r="G23"/>
      <c r="H23"/>
      <c r="I23"/>
      <c r="J23"/>
      <c r="K23"/>
      <c r="L23"/>
      <c r="M23"/>
    </row>
    <row r="24" spans="5:13" ht="15" thickBot="1" x14ac:dyDescent="0.35">
      <c r="E24" s="21" t="s">
        <v>86</v>
      </c>
      <c r="F24" s="21">
        <v>10</v>
      </c>
      <c r="G24"/>
      <c r="H24"/>
      <c r="I24"/>
      <c r="J24"/>
      <c r="K24"/>
      <c r="L24"/>
      <c r="M24"/>
    </row>
    <row r="25" spans="5:13" x14ac:dyDescent="0.3">
      <c r="E25"/>
      <c r="F25"/>
      <c r="G25"/>
      <c r="H25"/>
      <c r="I25"/>
      <c r="J25"/>
      <c r="K25"/>
      <c r="L25"/>
      <c r="M25"/>
    </row>
    <row r="26" spans="5:13" ht="15" thickBot="1" x14ac:dyDescent="0.35">
      <c r="E26" t="s">
        <v>87</v>
      </c>
      <c r="F26"/>
      <c r="G26"/>
      <c r="H26"/>
      <c r="I26"/>
      <c r="J26"/>
      <c r="K26"/>
      <c r="L26"/>
      <c r="M26"/>
    </row>
    <row r="27" spans="5:13" x14ac:dyDescent="0.3">
      <c r="E27" s="22"/>
      <c r="F27" s="22" t="s">
        <v>88</v>
      </c>
      <c r="G27" s="22" t="s">
        <v>89</v>
      </c>
      <c r="H27" s="22" t="s">
        <v>90</v>
      </c>
      <c r="I27" s="22" t="s">
        <v>91</v>
      </c>
      <c r="J27" s="22" t="s">
        <v>92</v>
      </c>
      <c r="K27"/>
      <c r="L27"/>
      <c r="M27"/>
    </row>
    <row r="28" spans="5:13" x14ac:dyDescent="0.3">
      <c r="E28" s="20" t="s">
        <v>93</v>
      </c>
      <c r="F28" s="20">
        <v>1</v>
      </c>
      <c r="G28" s="20">
        <v>16281725.703182524</v>
      </c>
      <c r="H28" s="20">
        <v>16281725.703182524</v>
      </c>
      <c r="I28" s="20">
        <v>699.70093884645405</v>
      </c>
      <c r="J28" s="20">
        <v>4.4853070169365077E-9</v>
      </c>
      <c r="K28"/>
      <c r="L28"/>
      <c r="M28"/>
    </row>
    <row r="29" spans="5:13" x14ac:dyDescent="0.3">
      <c r="E29" s="20" t="s">
        <v>94</v>
      </c>
      <c r="F29" s="20">
        <v>8</v>
      </c>
      <c r="G29" s="20">
        <v>186156.39681747483</v>
      </c>
      <c r="H29" s="20">
        <v>23269.549602184354</v>
      </c>
      <c r="I29" s="20"/>
      <c r="J29" s="20"/>
      <c r="K29"/>
      <c r="L29"/>
      <c r="M29"/>
    </row>
    <row r="30" spans="5:13" ht="15" thickBot="1" x14ac:dyDescent="0.35">
      <c r="E30" s="21" t="s">
        <v>95</v>
      </c>
      <c r="F30" s="21">
        <v>9</v>
      </c>
      <c r="G30" s="21">
        <v>16467882.1</v>
      </c>
      <c r="H30" s="21"/>
      <c r="I30" s="21"/>
      <c r="J30" s="21"/>
      <c r="K30"/>
      <c r="L30"/>
      <c r="M30"/>
    </row>
    <row r="31" spans="5:13" ht="15" thickBot="1" x14ac:dyDescent="0.35">
      <c r="E31"/>
      <c r="F31"/>
      <c r="G31"/>
      <c r="H31"/>
      <c r="I31"/>
      <c r="J31"/>
      <c r="K31"/>
      <c r="L31"/>
      <c r="M31"/>
    </row>
    <row r="32" spans="5:13" x14ac:dyDescent="0.3">
      <c r="E32" s="22"/>
      <c r="F32" s="22" t="s">
        <v>96</v>
      </c>
      <c r="G32" s="22" t="s">
        <v>85</v>
      </c>
      <c r="H32" s="22" t="s">
        <v>97</v>
      </c>
      <c r="I32" s="22" t="s">
        <v>98</v>
      </c>
      <c r="J32" s="22" t="s">
        <v>99</v>
      </c>
      <c r="K32" s="22" t="s">
        <v>100</v>
      </c>
      <c r="L32" s="22" t="s">
        <v>101</v>
      </c>
      <c r="M32" s="22" t="s">
        <v>102</v>
      </c>
    </row>
    <row r="33" spans="1:13" x14ac:dyDescent="0.3">
      <c r="E33" s="20" t="s">
        <v>103</v>
      </c>
      <c r="F33" s="20">
        <v>984.55458248654213</v>
      </c>
      <c r="G33" s="20">
        <v>401.05920055043964</v>
      </c>
      <c r="H33" s="20">
        <v>2.4548859149354398</v>
      </c>
      <c r="I33" s="20">
        <v>3.9633578623859744E-2</v>
      </c>
      <c r="J33" s="20">
        <v>59.710407555550887</v>
      </c>
      <c r="K33" s="20">
        <v>1909.3987574175335</v>
      </c>
      <c r="L33" s="20">
        <v>59.710407555550887</v>
      </c>
      <c r="M33" s="20">
        <v>1909.3987574175335</v>
      </c>
    </row>
    <row r="34" spans="1:13" ht="15" thickBot="1" x14ac:dyDescent="0.35">
      <c r="E34" s="21" t="s">
        <v>69</v>
      </c>
      <c r="F34" s="21">
        <v>0.99048664216850124</v>
      </c>
      <c r="G34" s="21">
        <v>3.7444875818758348E-2</v>
      </c>
      <c r="H34" s="21">
        <v>26.451860782305172</v>
      </c>
      <c r="I34" s="21">
        <v>4.4853070169365077E-9</v>
      </c>
      <c r="J34" s="21">
        <v>0.90413860368823795</v>
      </c>
      <c r="K34" s="21">
        <v>1.0768346806487645</v>
      </c>
      <c r="L34" s="21">
        <v>0.90413860368823795</v>
      </c>
      <c r="M34" s="21">
        <v>1.0768346806487645</v>
      </c>
    </row>
    <row r="35" spans="1:13" x14ac:dyDescent="0.3">
      <c r="E35"/>
      <c r="F35"/>
      <c r="G35"/>
      <c r="H35"/>
      <c r="I35"/>
      <c r="J35"/>
      <c r="K35"/>
      <c r="L35"/>
      <c r="M35"/>
    </row>
    <row r="36" spans="1:13" x14ac:dyDescent="0.3">
      <c r="A36" s="18" t="str">
        <f>CONCATENATE("Regression equation is: ", F33, " + ", E34, " * ", F34)</f>
        <v>Regression equation is: 984.554582486542 + week 16 * 0.990486642168501</v>
      </c>
      <c r="E36"/>
      <c r="F36"/>
      <c r="G36"/>
      <c r="H36"/>
      <c r="I36"/>
      <c r="J36"/>
      <c r="K36"/>
      <c r="L36"/>
      <c r="M36"/>
    </row>
    <row r="37" spans="1:13" x14ac:dyDescent="0.3">
      <c r="E37"/>
      <c r="F37"/>
      <c r="G37"/>
      <c r="H37"/>
      <c r="I37"/>
      <c r="J37"/>
      <c r="K37"/>
      <c r="L37"/>
      <c r="M37"/>
    </row>
    <row r="38" spans="1:13" x14ac:dyDescent="0.3">
      <c r="E38" s="24" t="s">
        <v>104</v>
      </c>
      <c r="F38" s="25">
        <f>AVERAGE(R2:R11)</f>
        <v>10632.9</v>
      </c>
      <c r="H38" s="26" t="s">
        <v>105</v>
      </c>
      <c r="I38" s="27">
        <v>0.9</v>
      </c>
      <c r="J38" s="26" t="s">
        <v>106</v>
      </c>
      <c r="K38" s="28">
        <f>1-I38</f>
        <v>9.9999999999999978E-2</v>
      </c>
    </row>
    <row r="39" spans="1:13" x14ac:dyDescent="0.3">
      <c r="E39" s="24" t="s">
        <v>107</v>
      </c>
      <c r="F39" s="18">
        <f>STDEV(R2:R11)</f>
        <v>1357.9392434453389</v>
      </c>
    </row>
    <row r="40" spans="1:13" x14ac:dyDescent="0.3">
      <c r="E40" s="24"/>
    </row>
    <row r="41" spans="1:13" x14ac:dyDescent="0.3">
      <c r="E41" s="29" t="s">
        <v>108</v>
      </c>
      <c r="F41" s="30" t="s">
        <v>109</v>
      </c>
      <c r="G41" s="30" t="s">
        <v>110</v>
      </c>
      <c r="H41" s="30" t="s">
        <v>111</v>
      </c>
      <c r="I41" s="30" t="s">
        <v>112</v>
      </c>
      <c r="J41" s="30" t="s">
        <v>113</v>
      </c>
      <c r="K41" s="30" t="s">
        <v>114</v>
      </c>
    </row>
    <row r="42" spans="1:13" ht="40.5" customHeight="1" x14ac:dyDescent="0.3">
      <c r="E42">
        <v>7275</v>
      </c>
      <c r="F42" s="31">
        <f>TINV(K38, F29)</f>
        <v>1.8595480375308981</v>
      </c>
      <c r="G42" s="31">
        <f>F23*SQRT(1+1/F24+(E42-F38)^2/F39^2/F30)</f>
        <v>203.48484858825805</v>
      </c>
      <c r="H42" s="31">
        <f>F42*G42</f>
        <v>378.38985085956722</v>
      </c>
      <c r="I42" s="32">
        <f>J42-H42</f>
        <v>7811.9550534028212</v>
      </c>
      <c r="J42" s="32">
        <f>F33+E42*F34</f>
        <v>8190.3449042623888</v>
      </c>
      <c r="K42" s="32">
        <f>J42+H42</f>
        <v>8568.7347551219555</v>
      </c>
    </row>
  </sheetData>
  <sortState ref="A2:AD12">
    <sortCondition ref="B2:B12"/>
  </sortState>
  <pageMargins left="0.7" right="0.7" top="0.75" bottom="0.75" header="0.3" footer="0.3"/>
  <pageSetup orientation="portrait" verticalDpi="601"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Summer 202102 FSR Summary</vt:lpstr>
      <vt:lpstr>data</vt:lpstr>
      <vt:lpstr>uaa PI</vt:lpstr>
      <vt:lpstr>uaf PI</vt:lpstr>
      <vt:lpstr>uas PI</vt:lpstr>
      <vt:lpstr>system PI</vt:lpstr>
      <vt:lpstr>'Summer 202102 FSR Summary'!Print_Area</vt:lpstr>
    </vt:vector>
  </TitlesOfParts>
  <Company>University of Alaska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Campbell</dc:creator>
  <cp:lastModifiedBy>Rita F Murphy</cp:lastModifiedBy>
  <cp:lastPrinted>2021-05-11T17:09:32Z</cp:lastPrinted>
  <dcterms:created xsi:type="dcterms:W3CDTF">2003-01-08T19:32:21Z</dcterms:created>
  <dcterms:modified xsi:type="dcterms:W3CDTF">2021-06-03T21:40:37Z</dcterms:modified>
</cp:coreProperties>
</file>