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3 fall\reports\"/>
    </mc:Choice>
  </mc:AlternateContent>
  <bookViews>
    <workbookView xWindow="0" yWindow="456" windowWidth="25416" windowHeight="15084"/>
  </bookViews>
  <sheets>
    <sheet name="Fall 202103 FSR Summary" sheetId="1" r:id="rId1"/>
    <sheet name="data" sheetId="2" state="hidden" r:id="rId2"/>
    <sheet name="uaa PI" sheetId="4" state="hidden" r:id="rId3"/>
    <sheet name="uaf PI" sheetId="5" state="hidden" r:id="rId4"/>
    <sheet name="uas PI" sheetId="6" state="hidden" r:id="rId5"/>
    <sheet name="system PI" sheetId="3" state="hidden" r:id="rId6"/>
  </sheets>
  <definedNames>
    <definedName name="_xlnm.Print_Area" localSheetId="0">'Fall 202103 FSR Summary'!$A$1:$P$45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3" l="1"/>
  <c r="F40" i="3"/>
  <c r="F41" i="6"/>
  <c r="F40" i="6"/>
  <c r="F41" i="5"/>
  <c r="F40" i="5"/>
  <c r="F41" i="4" l="1"/>
  <c r="F40" i="4"/>
  <c r="A3" i="1" l="1"/>
  <c r="J44" i="3" l="1"/>
  <c r="G44" i="3"/>
  <c r="K40" i="3"/>
  <c r="F44" i="3" s="1"/>
  <c r="A38" i="3"/>
  <c r="AQ4" i="3"/>
  <c r="AP4" i="3"/>
  <c r="AO4" i="3"/>
  <c r="J44" i="6"/>
  <c r="K40" i="6"/>
  <c r="F44" i="6" s="1"/>
  <c r="G44" i="6"/>
  <c r="A38" i="6"/>
  <c r="AQ4" i="6"/>
  <c r="AP4" i="6"/>
  <c r="AO4" i="6"/>
  <c r="J44" i="5"/>
  <c r="G44" i="5"/>
  <c r="F44" i="5"/>
  <c r="K40" i="5"/>
  <c r="A38" i="5"/>
  <c r="AQ4" i="5"/>
  <c r="AP4" i="5"/>
  <c r="AO4" i="5"/>
  <c r="J44" i="4"/>
  <c r="K40" i="4"/>
  <c r="F44" i="4" s="1"/>
  <c r="G44" i="4"/>
  <c r="A38" i="4"/>
  <c r="AQ4" i="4"/>
  <c r="AP4" i="4"/>
  <c r="AO4" i="4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R25" i="2"/>
  <c r="R24" i="2"/>
  <c r="R23" i="2"/>
  <c r="R22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58" i="1"/>
  <c r="A57" i="1"/>
  <c r="O38" i="1"/>
  <c r="K38" i="1"/>
  <c r="G38" i="1"/>
  <c r="C38" i="1"/>
  <c r="K31" i="1"/>
  <c r="J31" i="1"/>
  <c r="G31" i="1"/>
  <c r="F31" i="1"/>
  <c r="C31" i="1"/>
  <c r="O31" i="1" s="1"/>
  <c r="B31" i="1"/>
  <c r="K30" i="1"/>
  <c r="J30" i="1"/>
  <c r="G30" i="1"/>
  <c r="F30" i="1"/>
  <c r="C30" i="1"/>
  <c r="O30" i="1" s="1"/>
  <c r="B30" i="1"/>
  <c r="K29" i="1"/>
  <c r="J29" i="1"/>
  <c r="G29" i="1"/>
  <c r="F29" i="1"/>
  <c r="C29" i="1"/>
  <c r="B29" i="1"/>
  <c r="N29" i="1" s="1"/>
  <c r="K28" i="1"/>
  <c r="J28" i="1"/>
  <c r="G28" i="1"/>
  <c r="F28" i="1"/>
  <c r="C28" i="1"/>
  <c r="B28" i="1"/>
  <c r="K27" i="1"/>
  <c r="J27" i="1"/>
  <c r="G27" i="1"/>
  <c r="F27" i="1"/>
  <c r="C27" i="1"/>
  <c r="B27" i="1"/>
  <c r="K26" i="1"/>
  <c r="J26" i="1"/>
  <c r="G26" i="1"/>
  <c r="F26" i="1"/>
  <c r="C26" i="1"/>
  <c r="O26" i="1" s="1"/>
  <c r="B26" i="1"/>
  <c r="K25" i="1"/>
  <c r="J25" i="1"/>
  <c r="G25" i="1"/>
  <c r="F25" i="1"/>
  <c r="C25" i="1"/>
  <c r="B25" i="1"/>
  <c r="N25" i="1" s="1"/>
  <c r="K24" i="1"/>
  <c r="J24" i="1"/>
  <c r="G24" i="1"/>
  <c r="F24" i="1"/>
  <c r="C24" i="1"/>
  <c r="B24" i="1"/>
  <c r="K23" i="1"/>
  <c r="J23" i="1"/>
  <c r="G23" i="1"/>
  <c r="F23" i="1"/>
  <c r="C23" i="1"/>
  <c r="B23" i="1"/>
  <c r="K22" i="1"/>
  <c r="J22" i="1"/>
  <c r="G22" i="1"/>
  <c r="F22" i="1"/>
  <c r="C22" i="1"/>
  <c r="O22" i="1" s="1"/>
  <c r="B22" i="1"/>
  <c r="K21" i="1"/>
  <c r="J21" i="1"/>
  <c r="G21" i="1"/>
  <c r="F21" i="1"/>
  <c r="C21" i="1"/>
  <c r="B21" i="1"/>
  <c r="N21" i="1" s="1"/>
  <c r="K20" i="1"/>
  <c r="J20" i="1"/>
  <c r="G20" i="1"/>
  <c r="G33" i="1" s="1"/>
  <c r="F20" i="1"/>
  <c r="C20" i="1"/>
  <c r="B20" i="1"/>
  <c r="O16" i="1"/>
  <c r="O18" i="1" s="1"/>
  <c r="N16" i="1"/>
  <c r="N18" i="1" s="1"/>
  <c r="K16" i="1"/>
  <c r="K18" i="1" s="1"/>
  <c r="J16" i="1"/>
  <c r="G16" i="1"/>
  <c r="G18" i="1" s="1"/>
  <c r="F16" i="1"/>
  <c r="F18" i="1" s="1"/>
  <c r="C16" i="1"/>
  <c r="C18" i="1" s="1"/>
  <c r="B16" i="1"/>
  <c r="B18" i="1" s="1"/>
  <c r="O15" i="1"/>
  <c r="O17" i="1" s="1"/>
  <c r="N15" i="1"/>
  <c r="K15" i="1"/>
  <c r="K17" i="1" s="1"/>
  <c r="J15" i="1"/>
  <c r="G15" i="1"/>
  <c r="G17" i="1" s="1"/>
  <c r="F15" i="1"/>
  <c r="F17" i="1" s="1"/>
  <c r="C15" i="1"/>
  <c r="C17" i="1" s="1"/>
  <c r="B15" i="1"/>
  <c r="O13" i="1"/>
  <c r="N13" i="1"/>
  <c r="K13" i="1"/>
  <c r="J13" i="1"/>
  <c r="G13" i="1"/>
  <c r="F13" i="1"/>
  <c r="C13" i="1"/>
  <c r="B13" i="1"/>
  <c r="O12" i="1"/>
  <c r="N12" i="1"/>
  <c r="K12" i="1"/>
  <c r="J12" i="1"/>
  <c r="G12" i="1"/>
  <c r="F12" i="1"/>
  <c r="C12" i="1"/>
  <c r="B12" i="1"/>
  <c r="O11" i="1"/>
  <c r="N11" i="1"/>
  <c r="K11" i="1"/>
  <c r="J11" i="1"/>
  <c r="G11" i="1"/>
  <c r="F11" i="1"/>
  <c r="C11" i="1"/>
  <c r="B11" i="1"/>
  <c r="O10" i="1"/>
  <c r="N10" i="1"/>
  <c r="K10" i="1"/>
  <c r="J10" i="1"/>
  <c r="G10" i="1"/>
  <c r="F10" i="1"/>
  <c r="C10" i="1"/>
  <c r="B10" i="1"/>
  <c r="L30" i="1" l="1"/>
  <c r="L15" i="1"/>
  <c r="P15" i="1"/>
  <c r="L16" i="1"/>
  <c r="P18" i="1"/>
  <c r="D13" i="1"/>
  <c r="H21" i="1"/>
  <c r="H22" i="1"/>
  <c r="L22" i="1"/>
  <c r="H25" i="1"/>
  <c r="H26" i="1"/>
  <c r="L26" i="1"/>
  <c r="L27" i="1"/>
  <c r="H29" i="1"/>
  <c r="H30" i="1"/>
  <c r="H10" i="1"/>
  <c r="L10" i="1"/>
  <c r="H11" i="1"/>
  <c r="L11" i="1"/>
  <c r="P11" i="1"/>
  <c r="H12" i="1"/>
  <c r="D12" i="1"/>
  <c r="D18" i="1"/>
  <c r="O25" i="1"/>
  <c r="P25" i="1" s="1"/>
  <c r="O29" i="1"/>
  <c r="P29" i="1" s="1"/>
  <c r="K33" i="1"/>
  <c r="P12" i="1"/>
  <c r="H18" i="1"/>
  <c r="O20" i="1"/>
  <c r="O24" i="1"/>
  <c r="O28" i="1"/>
  <c r="N23" i="1"/>
  <c r="H24" i="1"/>
  <c r="L25" i="1"/>
  <c r="N27" i="1"/>
  <c r="H28" i="1"/>
  <c r="L29" i="1"/>
  <c r="N31" i="1"/>
  <c r="P31" i="1" s="1"/>
  <c r="J33" i="1"/>
  <c r="L24" i="1"/>
  <c r="H27" i="1"/>
  <c r="L28" i="1"/>
  <c r="H31" i="1"/>
  <c r="H44" i="3"/>
  <c r="I44" i="3" s="1"/>
  <c r="N37" i="1" s="1"/>
  <c r="H44" i="6"/>
  <c r="I44" i="6" s="1"/>
  <c r="J37" i="1" s="1"/>
  <c r="H44" i="5"/>
  <c r="I44" i="5" s="1"/>
  <c r="F37" i="1" s="1"/>
  <c r="H44" i="4"/>
  <c r="K44" i="4" s="1"/>
  <c r="D37" i="1" s="1"/>
  <c r="D20" i="1"/>
  <c r="F33" i="1"/>
  <c r="H33" i="1" s="1"/>
  <c r="H20" i="1"/>
  <c r="D21" i="1"/>
  <c r="L21" i="1"/>
  <c r="D22" i="1"/>
  <c r="D24" i="1"/>
  <c r="D26" i="1"/>
  <c r="D27" i="1"/>
  <c r="D28" i="1"/>
  <c r="D30" i="1"/>
  <c r="L31" i="1"/>
  <c r="D15" i="1"/>
  <c r="H17" i="1"/>
  <c r="H15" i="1"/>
  <c r="D10" i="1"/>
  <c r="P10" i="1"/>
  <c r="D11" i="1"/>
  <c r="L12" i="1"/>
  <c r="H13" i="1"/>
  <c r="L13" i="1"/>
  <c r="P13" i="1"/>
  <c r="D25" i="1"/>
  <c r="D16" i="1"/>
  <c r="O21" i="1"/>
  <c r="O23" i="1"/>
  <c r="D31" i="1"/>
  <c r="P16" i="1"/>
  <c r="J17" i="1"/>
  <c r="L17" i="1" s="1"/>
  <c r="B17" i="1"/>
  <c r="D17" i="1" s="1"/>
  <c r="L20" i="1"/>
  <c r="B33" i="1"/>
  <c r="D29" i="1"/>
  <c r="H16" i="1"/>
  <c r="N17" i="1"/>
  <c r="P17" i="1" s="1"/>
  <c r="N20" i="1"/>
  <c r="N22" i="1"/>
  <c r="P22" i="1" s="1"/>
  <c r="N24" i="1"/>
  <c r="N26" i="1"/>
  <c r="P26" i="1" s="1"/>
  <c r="N28" i="1"/>
  <c r="N30" i="1"/>
  <c r="P30" i="1" s="1"/>
  <c r="C33" i="1"/>
  <c r="O27" i="1"/>
  <c r="J18" i="1"/>
  <c r="L18" i="1" s="1"/>
  <c r="P27" i="1" l="1"/>
  <c r="K44" i="3"/>
  <c r="P37" i="1" s="1"/>
  <c r="P24" i="1"/>
  <c r="L33" i="1"/>
  <c r="K44" i="6"/>
  <c r="L37" i="1" s="1"/>
  <c r="K44" i="5"/>
  <c r="H37" i="1" s="1"/>
  <c r="P28" i="1"/>
  <c r="I44" i="4"/>
  <c r="B37" i="1" s="1"/>
  <c r="O33" i="1"/>
  <c r="P21" i="1"/>
  <c r="P20" i="1"/>
  <c r="N33" i="1"/>
  <c r="D33" i="1"/>
  <c r="P33" i="1" l="1"/>
</calcChain>
</file>

<file path=xl/sharedStrings.xml><?xml version="1.0" encoding="utf-8"?>
<sst xmlns="http://schemas.openxmlformats.org/spreadsheetml/2006/main" count="711" uniqueCount="178">
  <si>
    <t>UA Anchorage</t>
  </si>
  <si>
    <t>UA Fairbanks</t>
  </si>
  <si>
    <t>UA Southeast</t>
  </si>
  <si>
    <t xml:space="preserve">Percent </t>
  </si>
  <si>
    <t>Change</t>
  </si>
  <si>
    <t>Applications</t>
  </si>
  <si>
    <t>Admissions</t>
  </si>
  <si>
    <t>UA Scholar Applications</t>
  </si>
  <si>
    <t>UA Scholar Admissions</t>
  </si>
  <si>
    <t>Enrolled Headcount</t>
  </si>
  <si>
    <t>Enrolled SCH</t>
  </si>
  <si>
    <t>Lower Division Undergraduate</t>
  </si>
  <si>
    <t>Upper Division Undergraduate</t>
  </si>
  <si>
    <t>Graduate</t>
  </si>
  <si>
    <t>updated for</t>
  </si>
  <si>
    <t>Course Fees</t>
  </si>
  <si>
    <t>report_date</t>
  </si>
  <si>
    <t>mau</t>
  </si>
  <si>
    <t>sort_order</t>
  </si>
  <si>
    <t>type_ind</t>
  </si>
  <si>
    <t>applied_y</t>
  </si>
  <si>
    <t>applied_n</t>
  </si>
  <si>
    <t>admit_y</t>
  </si>
  <si>
    <t>admit_n</t>
  </si>
  <si>
    <t>old_report_date</t>
  </si>
  <si>
    <t>old_applied_y</t>
  </si>
  <si>
    <t>old_applied_n</t>
  </si>
  <si>
    <t>old_admit_y</t>
  </si>
  <si>
    <t>old_admit_n</t>
  </si>
  <si>
    <t>UAA</t>
  </si>
  <si>
    <t>a1</t>
  </si>
  <si>
    <t>All UA Scholars</t>
  </si>
  <si>
    <t>a3</t>
  </si>
  <si>
    <t>First-Time Freshmen</t>
  </si>
  <si>
    <t>a4</t>
  </si>
  <si>
    <t>All Undergraduates</t>
  </si>
  <si>
    <t>a5</t>
  </si>
  <si>
    <t>Graduates</t>
  </si>
  <si>
    <t>UAF</t>
  </si>
  <si>
    <t>UAS</t>
  </si>
  <si>
    <t>UAT</t>
  </si>
  <si>
    <t>Applications and Admissions Data</t>
  </si>
  <si>
    <t>new_report_date</t>
  </si>
  <si>
    <t>HDCT and SCH Data</t>
  </si>
  <si>
    <t>Tuition Data</t>
  </si>
  <si>
    <t>UA System</t>
  </si>
  <si>
    <t>row check</t>
  </si>
  <si>
    <t>closing</t>
  </si>
  <si>
    <t>semester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</si>
  <si>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</si>
  <si>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</si>
  <si>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</si>
  <si>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</si>
  <si>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</si>
  <si>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</si>
  <si>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</si>
  <si>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</si>
  <si>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</si>
  <si>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</si>
  <si>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</si>
  <si>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</si>
  <si>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</si>
  <si>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</si>
  <si>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</si>
  <si>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</si>
  <si>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</si>
  <si>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</si>
  <si>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</si>
  <si>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</si>
  <si>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</si>
  <si>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</si>
  <si>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</si>
  <si>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</si>
  <si>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</si>
  <si>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</si>
  <si>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</si>
  <si>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</si>
  <si>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</si>
  <si>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</si>
  <si>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</si>
  <si>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</si>
  <si>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</si>
  <si>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</si>
  <si>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</si>
  <si>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</si>
  <si>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</si>
  <si>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</si>
  <si>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</si>
  <si>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</si>
  <si>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</si>
  <si>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date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</si>
  <si>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</si>
  <si>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</si>
  <si>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</si>
  <si>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</si>
  <si>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</si>
  <si>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</si>
  <si>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</si>
  <si>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</si>
  <si>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</si>
  <si>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</si>
  <si>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</si>
  <si>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</si>
  <si>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</si>
  <si>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</si>
  <si>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</si>
  <si>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</si>
  <si>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</si>
  <si>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</si>
  <si>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</si>
  <si>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</si>
  <si>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</si>
  <si>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</si>
  <si>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</si>
  <si>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</si>
  <si>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week 42</t>
  </si>
  <si>
    <t>week 43</t>
  </si>
  <si>
    <t>week 44</t>
  </si>
  <si>
    <t>week 45</t>
  </si>
  <si>
    <t>Mean of week i</t>
  </si>
  <si>
    <t>Std Dev of week i</t>
  </si>
  <si>
    <t>Pred Level</t>
  </si>
  <si>
    <t>Alpha</t>
  </si>
  <si>
    <t>t-value</t>
  </si>
  <si>
    <t>std error pred</t>
  </si>
  <si>
    <t>marg err pred</t>
  </si>
  <si>
    <t>lower bound</t>
  </si>
  <si>
    <t>point pred</t>
  </si>
  <si>
    <t>upper bound</t>
  </si>
  <si>
    <t>Lower Bound</t>
  </si>
  <si>
    <t>Upper Bound</t>
  </si>
  <si>
    <t>p-value</t>
  </si>
  <si>
    <t>week i value</t>
  </si>
  <si>
    <t>201403</t>
  </si>
  <si>
    <t>201503</t>
  </si>
  <si>
    <t>201603</t>
  </si>
  <si>
    <t>fee_type</t>
  </si>
  <si>
    <t>new_total_amt</t>
  </si>
  <si>
    <t>old_total_amt</t>
  </si>
  <si>
    <t>10_lower level</t>
  </si>
  <si>
    <t>20_upper level</t>
  </si>
  <si>
    <t>30_graduate level</t>
  </si>
  <si>
    <t>50_come home to ak</t>
  </si>
  <si>
    <t>60_wue</t>
  </si>
  <si>
    <t>70_non-res tuition</t>
  </si>
  <si>
    <t>79_other tuition</t>
  </si>
  <si>
    <t>80_course fees</t>
  </si>
  <si>
    <t>85_student fees</t>
  </si>
  <si>
    <t>90_facilities fee</t>
  </si>
  <si>
    <t>95_network fee</t>
  </si>
  <si>
    <t>Come Home to Alaska</t>
  </si>
  <si>
    <t>Non-Resident Surcharge</t>
  </si>
  <si>
    <t>Other Tuition</t>
  </si>
  <si>
    <t>Western Undergraduate Exchange</t>
  </si>
  <si>
    <t>Total Actual Tuition and Fees</t>
  </si>
  <si>
    <t>Student Fees</t>
  </si>
  <si>
    <t>Facilities Fee</t>
  </si>
  <si>
    <t>Network Fee</t>
  </si>
  <si>
    <t>ac_org</t>
  </si>
  <si>
    <t>new_hdct</t>
  </si>
  <si>
    <t>new_sch</t>
  </si>
  <si>
    <t>old_hdct</t>
  </si>
  <si>
    <t>old_sch</t>
  </si>
  <si>
    <t>new_facilities</t>
  </si>
  <si>
    <t>old_facilities</t>
  </si>
  <si>
    <t>201703</t>
  </si>
  <si>
    <t>Prior Year Semester Closing Headcount</t>
  </si>
  <si>
    <t xml:space="preserve"> </t>
  </si>
  <si>
    <t xml:space="preserve">Prediction Interval </t>
  </si>
  <si>
    <t>Predicted Closing Headcount (90%PI)</t>
  </si>
  <si>
    <t>40_OEC discount</t>
  </si>
  <si>
    <t>CTE Discount</t>
  </si>
  <si>
    <t>To-Date Number of Student Applications, Admissions, Enrollment, and Tuition Revenue, Fall Semesters</t>
  </si>
  <si>
    <t>INTERNAL USE ONLY</t>
  </si>
  <si>
    <t>Percent of Opening Headcount</t>
  </si>
  <si>
    <t>Percent of Opening SCH</t>
  </si>
  <si>
    <t>DNE</t>
  </si>
  <si>
    <t>31May2021 and 1Jun2020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</si>
</sst>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mmmm\ d\,\ yyyy"/>
    <numFmt numFmtId="166" formatCode="_(* #,##0_);_(* \(#,##0\);_(* &quot;-&quot;??_);_(@_)"/>
    <numFmt numFmtId="167" formatCode="#,##0.000"/>
    <numFmt numFmtId="168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">
    <xf numFmtId="0" fontId="0" fillId="0" borderId="0"/>
    <xf numFmtId="0" fontId="20" fillId="2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7" applyNumberFormat="0" applyAlignment="0" applyProtection="0"/>
    <xf numFmtId="0" fontId="35" fillId="6" borderId="8" applyNumberFormat="0" applyAlignment="0" applyProtection="0"/>
    <xf numFmtId="0" fontId="36" fillId="6" borderId="7" applyNumberFormat="0" applyAlignment="0" applyProtection="0"/>
    <xf numFmtId="0" fontId="37" fillId="0" borderId="9" applyNumberFormat="0" applyFill="0" applyAlignment="0" applyProtection="0"/>
    <xf numFmtId="0" fontId="38" fillId="7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0" borderId="0"/>
    <xf numFmtId="0" fontId="14" fillId="8" borderId="11" applyNumberFormat="0" applyFont="0" applyAlignment="0" applyProtection="0"/>
    <xf numFmtId="0" fontId="13" fillId="0" borderId="0"/>
    <xf numFmtId="0" fontId="13" fillId="8" borderId="11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11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9" fillId="0" borderId="0"/>
    <xf numFmtId="0" fontId="9" fillId="8" borderId="1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/>
    <xf numFmtId="0" fontId="16" fillId="0" borderId="0" xfId="0" applyFont="1"/>
    <xf numFmtId="0" fontId="17" fillId="0" borderId="0" xfId="0" applyFont="1"/>
    <xf numFmtId="15" fontId="17" fillId="0" borderId="0" xfId="0" applyNumberFormat="1" applyFont="1"/>
    <xf numFmtId="3" fontId="17" fillId="0" borderId="0" xfId="0" applyNumberFormat="1" applyFont="1"/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164" fontId="17" fillId="0" borderId="0" xfId="0" applyNumberFormat="1" applyFont="1"/>
    <xf numFmtId="165" fontId="16" fillId="0" borderId="0" xfId="0" applyNumberFormat="1" applyFont="1" applyAlignment="1">
      <alignment horizontal="left"/>
    </xf>
    <xf numFmtId="0" fontId="19" fillId="0" borderId="0" xfId="0" applyFont="1"/>
    <xf numFmtId="0" fontId="23" fillId="0" borderId="0" xfId="0" applyFont="1"/>
    <xf numFmtId="0" fontId="17" fillId="0" borderId="0" xfId="0" applyFont="1" applyAlignment="1">
      <alignment horizontal="center"/>
    </xf>
    <xf numFmtId="0" fontId="15" fillId="0" borderId="0" xfId="4"/>
    <xf numFmtId="49" fontId="15" fillId="0" borderId="0" xfId="4" applyNumberFormat="1"/>
    <xf numFmtId="0" fontId="15" fillId="0" borderId="0" xfId="4" applyAlignment="1">
      <alignment vertical="center" wrapText="1"/>
    </xf>
    <xf numFmtId="1" fontId="15" fillId="0" borderId="0" xfId="4" applyNumberFormat="1"/>
    <xf numFmtId="0" fontId="15" fillId="0" borderId="0" xfId="4" applyAlignment="1">
      <alignment horizontal="center"/>
    </xf>
    <xf numFmtId="9" fontId="15" fillId="0" borderId="0" xfId="4" applyNumberFormat="1" applyAlignment="1">
      <alignment horizontal="center"/>
    </xf>
    <xf numFmtId="0" fontId="15" fillId="0" borderId="0" xfId="4" applyAlignment="1">
      <alignment horizontal="right"/>
    </xf>
    <xf numFmtId="0" fontId="15" fillId="0" borderId="1" xfId="4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7" fontId="17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25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Continuous"/>
    </xf>
    <xf numFmtId="0" fontId="26" fillId="0" borderId="0" xfId="4" applyFont="1"/>
    <xf numFmtId="0" fontId="26" fillId="0" borderId="1" xfId="4" applyFont="1" applyBorder="1" applyAlignment="1">
      <alignment horizontal="center"/>
    </xf>
    <xf numFmtId="0" fontId="27" fillId="0" borderId="0" xfId="0" applyFont="1"/>
    <xf numFmtId="0" fontId="11" fillId="0" borderId="0" xfId="4" applyFont="1"/>
    <xf numFmtId="1" fontId="11" fillId="0" borderId="0" xfId="4" applyNumberFormat="1" applyFont="1"/>
    <xf numFmtId="9" fontId="11" fillId="0" borderId="0" xfId="3" applyFont="1" applyAlignment="1">
      <alignment horizontal="center"/>
    </xf>
    <xf numFmtId="166" fontId="11" fillId="0" borderId="0" xfId="2" applyNumberFormat="1" applyFont="1" applyAlignment="1">
      <alignment horizontal="center"/>
    </xf>
    <xf numFmtId="15" fontId="11" fillId="0" borderId="0" xfId="4" applyNumberFormat="1" applyFont="1"/>
    <xf numFmtId="49" fontId="11" fillId="0" borderId="0" xfId="4" applyNumberFormat="1" applyFont="1"/>
    <xf numFmtId="0" fontId="11" fillId="0" borderId="0" xfId="4" applyFont="1" applyAlignment="1">
      <alignment horizontal="right"/>
    </xf>
    <xf numFmtId="9" fontId="11" fillId="0" borderId="0" xfId="4" applyNumberFormat="1" applyFont="1" applyAlignment="1">
      <alignment horizontal="center"/>
    </xf>
    <xf numFmtId="0" fontId="11" fillId="0" borderId="1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0" fillId="0" borderId="0" xfId="4" applyFont="1"/>
    <xf numFmtId="1" fontId="10" fillId="0" borderId="0" xfId="4" applyNumberFormat="1" applyFont="1"/>
    <xf numFmtId="15" fontId="10" fillId="0" borderId="0" xfId="4" applyNumberFormat="1" applyFont="1"/>
    <xf numFmtId="49" fontId="10" fillId="0" borderId="0" xfId="4" applyNumberFormat="1" applyFont="1"/>
    <xf numFmtId="0" fontId="10" fillId="0" borderId="0" xfId="4" applyFont="1" applyAlignment="1">
      <alignment vertical="center" wrapText="1"/>
    </xf>
    <xf numFmtId="0" fontId="8" fillId="0" borderId="0" xfId="88"/>
    <xf numFmtId="15" fontId="23" fillId="0" borderId="0" xfId="0" applyNumberFormat="1" applyFont="1"/>
    <xf numFmtId="0" fontId="43" fillId="0" borderId="0" xfId="88" applyFont="1"/>
    <xf numFmtId="15" fontId="43" fillId="0" borderId="0" xfId="88" applyNumberFormat="1" applyFont="1"/>
    <xf numFmtId="15" fontId="43" fillId="0" borderId="0" xfId="74" applyNumberFormat="1" applyFont="1"/>
    <xf numFmtId="0" fontId="43" fillId="0" borderId="0" xfId="74" applyFont="1"/>
    <xf numFmtId="0" fontId="7" fillId="0" borderId="0" xfId="88" applyFont="1"/>
    <xf numFmtId="49" fontId="6" fillId="0" borderId="0" xfId="4" applyNumberFormat="1" applyFont="1"/>
    <xf numFmtId="15" fontId="0" fillId="0" borderId="0" xfId="0" applyNumberFormat="1"/>
    <xf numFmtId="49" fontId="4" fillId="0" borderId="0" xfId="4" applyNumberFormat="1" applyFont="1"/>
    <xf numFmtId="0" fontId="3" fillId="0" borderId="0" xfId="4" applyFont="1"/>
    <xf numFmtId="0" fontId="11" fillId="0" borderId="0" xfId="4" applyNumberFormat="1" applyFont="1"/>
    <xf numFmtId="0" fontId="4" fillId="0" borderId="0" xfId="4" applyNumberFormat="1" applyFont="1"/>
    <xf numFmtId="0" fontId="22" fillId="2" borderId="0" xfId="1" applyFont="1" applyAlignment="1">
      <alignment horizontal="center" vertical="center" textRotation="90" wrapText="1"/>
    </xf>
    <xf numFmtId="0" fontId="4" fillId="0" borderId="0" xfId="4" applyNumberFormat="1" applyFont="1" applyAlignment="1">
      <alignment horizontal="left"/>
    </xf>
    <xf numFmtId="0" fontId="2" fillId="0" borderId="0" xfId="4" applyNumberFormat="1" applyFont="1" applyFill="1"/>
    <xf numFmtId="0" fontId="1" fillId="0" borderId="0" xfId="4" applyFont="1"/>
    <xf numFmtId="168" fontId="17" fillId="0" borderId="0" xfId="0" applyNumberFormat="1" applyFont="1"/>
    <xf numFmtId="15" fontId="19" fillId="0" borderId="0" xfId="0" applyNumberFormat="1" applyFont="1"/>
    <xf numFmtId="164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22" fillId="2" borderId="0" xfId="1" applyFont="1" applyAlignment="1">
      <alignment horizontal="center" vertical="center" textRotation="90"/>
    </xf>
    <xf numFmtId="0" fontId="21" fillId="2" borderId="0" xfId="1" applyFont="1" applyAlignment="1">
      <alignment horizontal="center" vertical="center" textRotation="90" wrapText="1"/>
    </xf>
    <xf numFmtId="0" fontId="22" fillId="2" borderId="0" xfId="1" applyFont="1" applyAlignment="1">
      <alignment horizontal="center" vertical="center" textRotation="90" wrapText="1"/>
    </xf>
  </cellXfs>
  <cellStyles count="123">
    <cellStyle name="20% - Accent1" xfId="21" builtinId="30" customBuiltin="1"/>
    <cellStyle name="20% - Accent1 2" xfId="48"/>
    <cellStyle name="20% - Accent1 3" xfId="62"/>
    <cellStyle name="20% - Accent1 4" xfId="76"/>
    <cellStyle name="20% - Accent1 5" xfId="90"/>
    <cellStyle name="20% - Accent1 6" xfId="105"/>
    <cellStyle name="20% - Accent2" xfId="25" builtinId="34" customBuiltin="1"/>
    <cellStyle name="20% - Accent2 2" xfId="50"/>
    <cellStyle name="20% - Accent2 3" xfId="64"/>
    <cellStyle name="20% - Accent2 4" xfId="78"/>
    <cellStyle name="20% - Accent2 5" xfId="92"/>
    <cellStyle name="20% - Accent2 6" xfId="107"/>
    <cellStyle name="20% - Accent3" xfId="29" builtinId="38" customBuiltin="1"/>
    <cellStyle name="20% - Accent3 2" xfId="52"/>
    <cellStyle name="20% - Accent3 3" xfId="66"/>
    <cellStyle name="20% - Accent3 4" xfId="80"/>
    <cellStyle name="20% - Accent3 5" xfId="94"/>
    <cellStyle name="20% - Accent3 6" xfId="109"/>
    <cellStyle name="20% - Accent4" xfId="33" builtinId="42" customBuiltin="1"/>
    <cellStyle name="20% - Accent4 2" xfId="54"/>
    <cellStyle name="20% - Accent4 3" xfId="68"/>
    <cellStyle name="20% - Accent4 4" xfId="82"/>
    <cellStyle name="20% - Accent4 5" xfId="96"/>
    <cellStyle name="20% - Accent4 6" xfId="111"/>
    <cellStyle name="20% - Accent5" xfId="37" builtinId="46" customBuiltin="1"/>
    <cellStyle name="20% - Accent5 2" xfId="56"/>
    <cellStyle name="20% - Accent5 3" xfId="70"/>
    <cellStyle name="20% - Accent5 4" xfId="84"/>
    <cellStyle name="20% - Accent5 5" xfId="98"/>
    <cellStyle name="20% - Accent5 6" xfId="113"/>
    <cellStyle name="20% - Accent6" xfId="41" builtinId="50" customBuiltin="1"/>
    <cellStyle name="20% - Accent6 2" xfId="58"/>
    <cellStyle name="20% - Accent6 3" xfId="72"/>
    <cellStyle name="20% - Accent6 4" xfId="86"/>
    <cellStyle name="20% - Accent6 5" xfId="100"/>
    <cellStyle name="20% - Accent6 6" xfId="115"/>
    <cellStyle name="40% - Accent1" xfId="22" builtinId="31" customBuiltin="1"/>
    <cellStyle name="40% - Accent1 2" xfId="49"/>
    <cellStyle name="40% - Accent1 3" xfId="63"/>
    <cellStyle name="40% - Accent1 4" xfId="77"/>
    <cellStyle name="40% - Accent1 5" xfId="91"/>
    <cellStyle name="40% - Accent1 6" xfId="106"/>
    <cellStyle name="40% - Accent2" xfId="26" builtinId="35" customBuiltin="1"/>
    <cellStyle name="40% - Accent2 2" xfId="51"/>
    <cellStyle name="40% - Accent2 3" xfId="65"/>
    <cellStyle name="40% - Accent2 4" xfId="79"/>
    <cellStyle name="40% - Accent2 5" xfId="93"/>
    <cellStyle name="40% - Accent2 6" xfId="108"/>
    <cellStyle name="40% - Accent3" xfId="30" builtinId="39" customBuiltin="1"/>
    <cellStyle name="40% - Accent3 2" xfId="53"/>
    <cellStyle name="40% - Accent3 3" xfId="67"/>
    <cellStyle name="40% - Accent3 4" xfId="81"/>
    <cellStyle name="40% - Accent3 5" xfId="95"/>
    <cellStyle name="40% - Accent3 6" xfId="110"/>
    <cellStyle name="40% - Accent4" xfId="34" builtinId="43" customBuiltin="1"/>
    <cellStyle name="40% - Accent4 2" xfId="55"/>
    <cellStyle name="40% - Accent4 3" xfId="69"/>
    <cellStyle name="40% - Accent4 4" xfId="83"/>
    <cellStyle name="40% - Accent4 5" xfId="97"/>
    <cellStyle name="40% - Accent4 6" xfId="112"/>
    <cellStyle name="40% - Accent5" xfId="38" builtinId="47" customBuiltin="1"/>
    <cellStyle name="40% - Accent5 2" xfId="57"/>
    <cellStyle name="40% - Accent5 3" xfId="71"/>
    <cellStyle name="40% - Accent5 4" xfId="85"/>
    <cellStyle name="40% - Accent5 5" xfId="99"/>
    <cellStyle name="40% - Accent5 6" xfId="114"/>
    <cellStyle name="40% - Accent6" xfId="42" builtinId="51" customBuiltin="1"/>
    <cellStyle name="40% - Accent6 2" xfId="59"/>
    <cellStyle name="40% - Accent6 3" xfId="73"/>
    <cellStyle name="40% - Accent6 4" xfId="87"/>
    <cellStyle name="40% - Accent6 5" xfId="101"/>
    <cellStyle name="40% - Accent6 6" xfId="116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2" builtinId="3"/>
    <cellStyle name="Explanatory Text" xfId="18" builtinId="53" customBuiltin="1"/>
    <cellStyle name="Followed Hyperlink" xfId="118" builtinId="9" hidden="1"/>
    <cellStyle name="Followed Hyperlink" xfId="120" builtinId="9" hidden="1"/>
    <cellStyle name="Followed Hyperlink" xfId="122" builtinId="9" hidden="1"/>
    <cellStyle name="Good" xfId="1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17" builtinId="8" hidden="1"/>
    <cellStyle name="Hyperlink" xfId="119" builtinId="8" hidden="1"/>
    <cellStyle name="Hyperlink" xfId="121" builtinId="8" hidde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"/>
    <cellStyle name="Normal 3" xfId="44"/>
    <cellStyle name="Normal 4" xfId="46"/>
    <cellStyle name="Normal 5" xfId="60"/>
    <cellStyle name="Normal 6" xfId="74"/>
    <cellStyle name="Normal 7" xfId="88"/>
    <cellStyle name="Normal 8" xfId="102"/>
    <cellStyle name="Note 2" xfId="45"/>
    <cellStyle name="Note 3" xfId="47"/>
    <cellStyle name="Note 4" xfId="61"/>
    <cellStyle name="Note 5" xfId="75"/>
    <cellStyle name="Note 6" xfId="89"/>
    <cellStyle name="Note 7" xfId="104"/>
    <cellStyle name="Output" xfId="13" builtinId="21" customBuiltin="1"/>
    <cellStyle name="Percent" xfId="3" builtinId="5"/>
    <cellStyle name="Title" xfId="5" builtinId="15" customBuiltin="1"/>
    <cellStyle name="Title 2" xfId="10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55418</xdr:rowOff>
    </xdr:from>
    <xdr:to>
      <xdr:col>15</xdr:col>
      <xdr:colOff>746125</xdr:colOff>
      <xdr:row>44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6005945"/>
          <a:ext cx="11767416" cy="526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7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 The count of applications considers all applications for the specified term, therefore students with multiple applications are counted once per each application. Tuition and fees are actual amounts computed</a:t>
          </a:r>
          <a:r>
            <a:rPr lang="en-US" sz="77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via TBRACCD</a:t>
          </a:r>
          <a:r>
            <a:rPr lang="en-US" sz="77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All data are current as of 5:00 pm of the report date; are preliminary and unofficial; and are for internal use only.</a:t>
          </a:r>
          <a:r>
            <a:rPr lang="en-US" sz="77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77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90% prediction interval standard error is generated via a simple linear regression model of</a:t>
          </a:r>
          <a:r>
            <a:rPr lang="en-US" sz="77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prior year to-date data onto closing headcounts. P-values are related to an expression of confidence that the relationship observed in the data is not due to chance. Results with a p-value greater than 0.10 should NOT be considered significant</a:t>
          </a:r>
          <a:r>
            <a:rPr lang="en-US" sz="77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en-US" sz="77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Fall 2021 registration opened</a:t>
          </a:r>
          <a:r>
            <a:rPr lang="en-US" sz="77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April 2.</a:t>
          </a:r>
          <a:r>
            <a:rPr lang="en-US" sz="77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endParaRPr lang="en-US" sz="77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28574</xdr:colOff>
      <xdr:row>49</xdr:row>
      <xdr:rowOff>66675</xdr:rowOff>
    </xdr:from>
    <xdr:ext cx="5500689" cy="12477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5447241" y="8141758"/>
              <a:ext cx="5500689" cy="124777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/>
                          </a:rPr>
                          <m:t>𝑆𝐸</m:t>
                        </m:r>
                      </m:e>
                      <m:sub>
                        <m:r>
                          <a:rPr lang="en-US" sz="2000" b="0" i="1">
                            <a:latin typeface="Cambria Math"/>
                          </a:rPr>
                          <m:t>𝑝𝑟𝑒𝑑</m:t>
                        </m:r>
                      </m:sub>
                    </m:sSub>
                    <m:r>
                      <a:rPr lang="en-US" sz="2000" b="0" i="1">
                        <a:latin typeface="Cambria Math"/>
                      </a:rPr>
                      <m:t>= 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en-US" sz="2000" b="0" i="1">
                            <a:latin typeface="Cambria Math"/>
                          </a:rPr>
                          <m:t>𝑚𝑜𝑑𝑒𝑙</m:t>
                        </m:r>
                      </m:sub>
                    </m:sSub>
                    <m:rad>
                      <m:radPr>
                        <m:degHide m:val="on"/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000" b="0" i="1">
                            <a:latin typeface="Cambria Math"/>
                          </a:rPr>
                          <m:t>1+</m:t>
                        </m:r>
                        <m:f>
                          <m:fPr>
                            <m:ctrlPr>
                              <a:rPr lang="en-US" sz="2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2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en-US" sz="2000" b="0" i="1">
                                <a:latin typeface="Cambria Math"/>
                              </a:rPr>
                              <m:t>𝑛</m:t>
                            </m:r>
                          </m:den>
                        </m:f>
                        <m:r>
                          <a:rPr lang="en-US" sz="2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en-US" sz="2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20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2000" b="0" i="1">
                                    <a:latin typeface="Cambria Math"/>
                                  </a:rPr>
                                  <m:t>(</m:t>
                                </m:r>
                                <m:r>
                                  <a:rPr lang="en-US" sz="2000" b="0" i="1">
                                    <a:latin typeface="Cambria Math"/>
                                  </a:rPr>
                                  <m:t>𝑥</m:t>
                                </m:r>
                                <m:r>
                                  <a:rPr lang="en-US" sz="2000" b="0" i="1">
                                    <a:latin typeface="Cambria Math"/>
                                  </a:rPr>
                                  <m:t>−</m:t>
                                </m:r>
                                <m:bar>
                                  <m:barPr>
                                    <m:pos m:val="top"/>
                                    <m:ctrlPr>
                                      <a:rPr lang="en-US" sz="2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barPr>
                                  <m:e>
                                    <m:r>
                                      <a:rPr lang="en-US" sz="2000" b="0" i="1">
                                        <a:latin typeface="Cambria Math"/>
                                      </a:rPr>
                                      <m:t>𝑥</m:t>
                                    </m:r>
                                  </m:e>
                                </m:bar>
                                <m:r>
                                  <a:rPr lang="en-US" sz="2000" b="0" i="1">
                                    <a:latin typeface="Cambria Math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20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sSubSup>
                              <m:sSubSupPr>
                                <m:ctrlPr>
                                  <a:rPr lang="en-US" sz="2000" b="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2000" b="0" i="1">
                                    <a:latin typeface="Cambria Math"/>
                                  </a:rPr>
                                  <m:t>𝑠</m:t>
                                </m:r>
                              </m:e>
                              <m:sub>
                                <m:r>
                                  <a:rPr lang="en-US" sz="2000" b="0" i="1">
                                    <a:latin typeface="Cambria Math"/>
                                  </a:rPr>
                                  <m:t>𝑥</m:t>
                                </m:r>
                              </m:sub>
                              <m:sup>
                                <m:r>
                                  <a:rPr lang="en-US" sz="20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bSup>
                            <m:r>
                              <a:rPr lang="en-US" sz="2000" b="0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20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2000" b="0" i="1">
                                <a:latin typeface="Cambria Math"/>
                              </a:rPr>
                              <m:t>−1)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447241" y="8141758"/>
              <a:ext cx="5500689" cy="124777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〖</a:t>
              </a:r>
              <a:r>
                <a:rPr lang="en-US" sz="2000" b="0" i="0">
                  <a:latin typeface="Cambria Math"/>
                </a:rPr>
                <a:t>𝑆𝐸</a:t>
              </a:r>
              <a:r>
                <a:rPr lang="en-US" sz="2000" b="0" i="0">
                  <a:latin typeface="Cambria Math" panose="02040503050406030204" pitchFamily="18" charset="0"/>
                </a:rPr>
                <a:t>〗_</a:t>
              </a:r>
              <a:r>
                <a:rPr lang="en-US" sz="2000" b="0" i="0">
                  <a:latin typeface="Cambria Math"/>
                </a:rPr>
                <a:t>𝑝𝑟𝑒𝑑= 𝑠</a:t>
              </a:r>
              <a:r>
                <a:rPr lang="en-US" sz="2000" b="0" i="0">
                  <a:latin typeface="Cambria Math" panose="02040503050406030204" pitchFamily="18" charset="0"/>
                </a:rPr>
                <a:t>_</a:t>
              </a:r>
              <a:r>
                <a:rPr lang="en-US" sz="2000" b="0" i="0">
                  <a:latin typeface="Cambria Math"/>
                </a:rPr>
                <a:t>𝑚𝑜𝑑𝑒𝑙</a:t>
              </a:r>
              <a:r>
                <a:rPr lang="en-US" sz="2000" b="0" i="0">
                  <a:latin typeface="Cambria Math" panose="02040503050406030204" pitchFamily="18" charset="0"/>
                </a:rPr>
                <a:t> √(</a:t>
              </a:r>
              <a:r>
                <a:rPr lang="en-US" sz="2000" b="0" i="0">
                  <a:latin typeface="Cambria Math"/>
                </a:rPr>
                <a:t>1+1</a:t>
              </a:r>
              <a:r>
                <a:rPr lang="en-US" sz="2000" b="0" i="0">
                  <a:latin typeface="Cambria Math" panose="02040503050406030204" pitchFamily="18" charset="0"/>
                </a:rPr>
                <a:t>/</a:t>
              </a:r>
              <a:r>
                <a:rPr lang="en-US" sz="2000" b="0" i="0">
                  <a:latin typeface="Cambria Math"/>
                </a:rPr>
                <a:t>𝑛+</a:t>
              </a:r>
              <a:r>
                <a:rPr lang="en-US" sz="2000" b="0" i="0">
                  <a:latin typeface="Cambria Math" panose="02040503050406030204" pitchFamily="18" charset="0"/>
                </a:rPr>
                <a:t>〖</a:t>
              </a:r>
              <a:r>
                <a:rPr lang="en-US" sz="2000" b="0" i="0">
                  <a:latin typeface="Cambria Math"/>
                </a:rPr>
                <a:t>(𝑥−</a:t>
              </a:r>
              <a:r>
                <a:rPr lang="en-US" sz="2000" b="0" i="0">
                  <a:latin typeface="Cambria Math" panose="02040503050406030204" pitchFamily="18" charset="0"/>
                </a:rPr>
                <a:t>¯</a:t>
              </a:r>
              <a:r>
                <a:rPr lang="en-US" sz="2000" b="0" i="0">
                  <a:latin typeface="Cambria Math"/>
                </a:rPr>
                <a:t>𝑥)</a:t>
              </a:r>
              <a:r>
                <a:rPr lang="en-US" sz="2000" b="0" i="0">
                  <a:latin typeface="Cambria Math" panose="02040503050406030204" pitchFamily="18" charset="0"/>
                </a:rPr>
                <a:t>〗^</a:t>
              </a:r>
              <a:r>
                <a:rPr lang="en-US" sz="2000" b="0" i="0">
                  <a:latin typeface="Cambria Math"/>
                </a:rPr>
                <a:t>2</a:t>
              </a:r>
              <a:r>
                <a:rPr lang="en-US" sz="2000" b="0" i="0">
                  <a:latin typeface="Cambria Math" panose="02040503050406030204" pitchFamily="18" charset="0"/>
                </a:rPr>
                <a:t>/(</a:t>
              </a:r>
              <a:r>
                <a:rPr lang="en-US" sz="2000" b="0" i="0">
                  <a:latin typeface="Cambria Math"/>
                </a:rPr>
                <a:t>𝑠</a:t>
              </a:r>
              <a:r>
                <a:rPr lang="en-US" sz="2000" b="0" i="0">
                  <a:latin typeface="Cambria Math" panose="02040503050406030204" pitchFamily="18" charset="0"/>
                </a:rPr>
                <a:t>_</a:t>
              </a:r>
              <a:r>
                <a:rPr lang="en-US" sz="2000" b="0" i="0">
                  <a:latin typeface="Cambria Math"/>
                </a:rPr>
                <a:t>𝑥</a:t>
              </a:r>
              <a:r>
                <a:rPr lang="en-US" sz="2000" b="0" i="0">
                  <a:latin typeface="Cambria Math" panose="02040503050406030204" pitchFamily="18" charset="0"/>
                </a:rPr>
                <a:t>^</a:t>
              </a:r>
              <a:r>
                <a:rPr lang="en-US" sz="2000" b="0" i="0">
                  <a:latin typeface="Cambria Math"/>
                </a:rPr>
                <a:t>2 (𝑛−1)</a:t>
              </a:r>
              <a:r>
                <a:rPr lang="en-US" sz="2000" b="0" i="0">
                  <a:latin typeface="Cambria Math" panose="02040503050406030204" pitchFamily="18" charset="0"/>
                </a:rPr>
                <a:t>))</a:t>
              </a:r>
              <a:endParaRPr lang="en-US" sz="2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Normal="125" zoomScaleSheetLayoutView="100" zoomScalePageLayoutView="125" workbookViewId="0">
      <selection activeCell="C62" sqref="C62"/>
    </sheetView>
  </sheetViews>
  <sheetFormatPr defaultColWidth="8.77734375" defaultRowHeight="11.4" x14ac:dyDescent="0.2"/>
  <cols>
    <col min="1" max="1" width="29.6640625" style="2" customWidth="1"/>
    <col min="2" max="4" width="11.44140625" style="2" customWidth="1"/>
    <col min="5" max="5" width="1.77734375" style="2" customWidth="1"/>
    <col min="6" max="8" width="11.44140625" style="2" customWidth="1"/>
    <col min="9" max="9" width="1.77734375" style="2" customWidth="1"/>
    <col min="10" max="12" width="11.44140625" style="2" customWidth="1"/>
    <col min="13" max="13" width="1.77734375" style="2" customWidth="1"/>
    <col min="14" max="16" width="11.44140625" style="2" customWidth="1"/>
    <col min="17" max="16384" width="8.77734375" style="2"/>
  </cols>
  <sheetData>
    <row r="1" spans="1:16" ht="13.8" x14ac:dyDescent="0.25">
      <c r="A1" s="67" t="s">
        <v>173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" customFormat="1" ht="13.8" x14ac:dyDescent="0.25">
      <c r="A2" s="67" t="s">
        <v>172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1" customFormat="1" ht="12" x14ac:dyDescent="0.25">
      <c r="A3" s="69" t="str">
        <f>CONCATENATE("Report Dates:  ", A55)</f>
        <v>Report Dates:  31May2021 and 1Jun2020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1" customFormat="1" ht="12" x14ac:dyDescent="0.25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6" x14ac:dyDescent="0.2">
      <c r="B5" s="3"/>
      <c r="D5" s="3"/>
      <c r="E5" s="3"/>
      <c r="G5" s="3"/>
      <c r="J5" s="3"/>
      <c r="N5" s="3"/>
    </row>
    <row r="6" spans="1:16" x14ac:dyDescent="0.2">
      <c r="B6" s="68" t="s">
        <v>0</v>
      </c>
      <c r="C6" s="68"/>
      <c r="D6" s="68"/>
      <c r="F6" s="68" t="s">
        <v>1</v>
      </c>
      <c r="G6" s="68"/>
      <c r="H6" s="68"/>
      <c r="J6" s="68" t="s">
        <v>2</v>
      </c>
      <c r="K6" s="68"/>
      <c r="L6" s="68"/>
      <c r="N6" s="68" t="s">
        <v>45</v>
      </c>
      <c r="O6" s="68"/>
      <c r="P6" s="68"/>
    </row>
    <row r="7" spans="1:16" s="5" customFormat="1" x14ac:dyDescent="0.2">
      <c r="D7" s="5" t="s">
        <v>3</v>
      </c>
      <c r="H7" s="5" t="s">
        <v>3</v>
      </c>
      <c r="L7" s="5" t="s">
        <v>3</v>
      </c>
      <c r="P7" s="5" t="s">
        <v>3</v>
      </c>
    </row>
    <row r="8" spans="1:16" s="5" customFormat="1" x14ac:dyDescent="0.2">
      <c r="B8" s="6">
        <v>2021</v>
      </c>
      <c r="C8" s="6">
        <v>2020</v>
      </c>
      <c r="D8" s="6" t="s">
        <v>4</v>
      </c>
      <c r="F8" s="6">
        <v>2021</v>
      </c>
      <c r="G8" s="6">
        <v>2020</v>
      </c>
      <c r="H8" s="6" t="s">
        <v>4</v>
      </c>
      <c r="J8" s="6">
        <v>2021</v>
      </c>
      <c r="K8" s="6">
        <v>2020</v>
      </c>
      <c r="L8" s="6" t="s">
        <v>4</v>
      </c>
      <c r="N8" s="6">
        <v>2021</v>
      </c>
      <c r="O8" s="6">
        <v>2020</v>
      </c>
      <c r="P8" s="6" t="s">
        <v>4</v>
      </c>
    </row>
    <row r="10" spans="1:16" x14ac:dyDescent="0.2">
      <c r="A10" s="2" t="s">
        <v>5</v>
      </c>
      <c r="B10" s="4">
        <f>SUM(data!F4:G5)</f>
        <v>4184</v>
      </c>
      <c r="C10" s="4">
        <f>SUM(data!K4:L5)</f>
        <v>3498</v>
      </c>
      <c r="D10" s="7">
        <f>IF(OR(B10=0,C10=0), "", (B10-C10)/C10)</f>
        <v>0.19611206403659234</v>
      </c>
      <c r="F10" s="4">
        <f>SUM(data!F8:G9)</f>
        <v>3084</v>
      </c>
      <c r="G10" s="4">
        <f>SUM(data!K8:L9)</f>
        <v>2757</v>
      </c>
      <c r="H10" s="7">
        <f>IF(OR(F10=0,G10=0), "", (F10-G10)/G10)</f>
        <v>0.11860718171926006</v>
      </c>
      <c r="J10" s="4">
        <f>SUM(data!F12:G13)</f>
        <v>597</v>
      </c>
      <c r="K10" s="4">
        <f>SUM(data!K12:L13)</f>
        <v>633</v>
      </c>
      <c r="L10" s="7">
        <f>IF(OR(J10=0,K10=0), "", (J10-K10)/K10)</f>
        <v>-5.6872037914691941E-2</v>
      </c>
      <c r="N10" s="4">
        <f>SUM(data!F16:G17)</f>
        <v>7865</v>
      </c>
      <c r="O10" s="4">
        <f>SUM(data!K16:L17)</f>
        <v>6888</v>
      </c>
      <c r="P10" s="7">
        <f>IF(OR(N10=0,O10=0), "", (N10-O10)/O10)</f>
        <v>0.14184088269454123</v>
      </c>
    </row>
    <row r="11" spans="1:16" x14ac:dyDescent="0.2">
      <c r="A11" s="2" t="s">
        <v>6</v>
      </c>
      <c r="B11" s="4">
        <f>SUM(data!H4:I5)</f>
        <v>2711</v>
      </c>
      <c r="C11" s="4">
        <f>SUM(data!M4:N5)</f>
        <v>2540</v>
      </c>
      <c r="D11" s="7">
        <f>IF(OR(B11=0,C11=0), "", (B11-C11)/C11)</f>
        <v>6.7322834645669294E-2</v>
      </c>
      <c r="F11" s="4">
        <f>SUM(data!H8:I9)</f>
        <v>2031</v>
      </c>
      <c r="G11" s="4">
        <f>SUM(data!M8:N9)</f>
        <v>1748</v>
      </c>
      <c r="H11" s="7">
        <f>IF(OR(F11=0,G11=0), "", (F11-G11)/G11)</f>
        <v>0.16189931350114417</v>
      </c>
      <c r="J11" s="4">
        <f>SUM(data!H12:I13)</f>
        <v>359</v>
      </c>
      <c r="K11" s="4">
        <f>SUM(data!M12:N13)</f>
        <v>368</v>
      </c>
      <c r="L11" s="7">
        <f>IF(OR(J11=0,K11=0), "", (J11-K11)/K11)</f>
        <v>-2.4456521739130436E-2</v>
      </c>
      <c r="N11" s="4">
        <f>SUM(data!H16:I17)</f>
        <v>5101</v>
      </c>
      <c r="O11" s="4">
        <f>SUM(data!M16:N17)</f>
        <v>4656</v>
      </c>
      <c r="P11" s="7">
        <f>IF(OR(N11=0,O11=0), "", (N11-O11)/O11)</f>
        <v>9.557560137457044E-2</v>
      </c>
    </row>
    <row r="12" spans="1:16" x14ac:dyDescent="0.2">
      <c r="A12" s="2" t="s">
        <v>7</v>
      </c>
      <c r="B12" s="4">
        <f>SUM(data!F2:G2)</f>
        <v>383</v>
      </c>
      <c r="C12" s="4">
        <f>SUM(data!K2:L2)</f>
        <v>399</v>
      </c>
      <c r="D12" s="7">
        <f>IF(OR(B12=0,C12=0), "", (B12-C12)/C12)</f>
        <v>-4.0100250626566414E-2</v>
      </c>
      <c r="F12" s="4">
        <f>SUM(data!F6:G6)</f>
        <v>298</v>
      </c>
      <c r="G12" s="4">
        <f>SUM(data!K6:L6)</f>
        <v>315</v>
      </c>
      <c r="H12" s="7">
        <f>IF(OR(F12=0,G12=0), "", (F12-G12)/G12)</f>
        <v>-5.3968253968253971E-2</v>
      </c>
      <c r="J12" s="4">
        <f>SUM(data!F10:G10)</f>
        <v>67</v>
      </c>
      <c r="K12" s="4">
        <f>SUM(data!K10:L10)</f>
        <v>77</v>
      </c>
      <c r="L12" s="7">
        <f>IF(OR(J12=0,K12=0), "", (J12-K12)/K12)</f>
        <v>-0.12987012987012986</v>
      </c>
      <c r="N12" s="4">
        <f>SUM(data!F14:G14)</f>
        <v>748</v>
      </c>
      <c r="O12" s="4">
        <f>SUM(data!K14:L14)</f>
        <v>791</v>
      </c>
      <c r="P12" s="7">
        <f>IF(OR(N12=0,O12=0), "", (N12-O12)/O12)</f>
        <v>-5.4361567635903919E-2</v>
      </c>
    </row>
    <row r="13" spans="1:16" x14ac:dyDescent="0.2">
      <c r="A13" s="2" t="s">
        <v>8</v>
      </c>
      <c r="B13" s="4">
        <f>SUM(data!H2:I2)</f>
        <v>314</v>
      </c>
      <c r="C13" s="4">
        <f>SUM(data!M2:N2)</f>
        <v>356</v>
      </c>
      <c r="D13" s="7">
        <f>IF(OR(B13=0,C13=0), "", (B13-C13)/C13)</f>
        <v>-0.11797752808988764</v>
      </c>
      <c r="F13" s="4">
        <f>SUM(data!H6:I6)</f>
        <v>240</v>
      </c>
      <c r="G13" s="4">
        <f>SUM(data!M6:N6)</f>
        <v>221</v>
      </c>
      <c r="H13" s="7">
        <f>IF(OR(F13=0,G13=0), "", (F13-G13)/G13)</f>
        <v>8.5972850678733032E-2</v>
      </c>
      <c r="J13" s="4">
        <f>SUM(data!H10:I10)</f>
        <v>39</v>
      </c>
      <c r="K13" s="4">
        <f>SUM(data!M10:N10)</f>
        <v>38</v>
      </c>
      <c r="L13" s="7">
        <f>IF(OR(J13=0,K13=0), "", (J13-K13)/K13)</f>
        <v>2.6315789473684209E-2</v>
      </c>
      <c r="N13" s="4">
        <f>SUM(data!H14:I14)</f>
        <v>593</v>
      </c>
      <c r="O13" s="4">
        <f>SUM(data!M14:N14)</f>
        <v>615</v>
      </c>
      <c r="P13" s="7">
        <f>IF(OR(N13=0,O13=0), "", (N13-O13)/O13)</f>
        <v>-3.5772357723577237E-2</v>
      </c>
    </row>
    <row r="14" spans="1:16" x14ac:dyDescent="0.2">
      <c r="D14" s="7"/>
      <c r="H14" s="7"/>
      <c r="L14" s="7"/>
      <c r="P14" s="7"/>
    </row>
    <row r="15" spans="1:16" x14ac:dyDescent="0.2">
      <c r="A15" s="2" t="s">
        <v>9</v>
      </c>
      <c r="B15" s="4">
        <f>data!D22</f>
        <v>5165</v>
      </c>
      <c r="C15" s="4">
        <f>data!G22</f>
        <v>5807</v>
      </c>
      <c r="D15" s="7">
        <f>IF(OR(B15=0,C15=0), "", (B15-C15)/C15)</f>
        <v>-0.11055622524539349</v>
      </c>
      <c r="F15" s="4">
        <f>data!D23</f>
        <v>2925</v>
      </c>
      <c r="G15" s="4">
        <f>data!G23</f>
        <v>2958</v>
      </c>
      <c r="H15" s="7">
        <f>IF(OR(F15=0,G15=0), "", (F15-G15)/G15)</f>
        <v>-1.1156186612576065E-2</v>
      </c>
      <c r="J15" s="4">
        <f>data!D24</f>
        <v>786</v>
      </c>
      <c r="K15" s="4">
        <f>data!G24</f>
        <v>793</v>
      </c>
      <c r="L15" s="7">
        <f>IF(OR(J15=0,K15=0), "", (J15-K15)/K15)</f>
        <v>-8.8272383354350576E-3</v>
      </c>
      <c r="N15" s="4">
        <f>data!D25</f>
        <v>8623</v>
      </c>
      <c r="O15" s="4">
        <f>data!G25</f>
        <v>9305</v>
      </c>
      <c r="P15" s="7">
        <f>IF(OR(N15=0,O15=0), "", (N15-O15)/O15)</f>
        <v>-7.3293927995701239E-2</v>
      </c>
    </row>
    <row r="16" spans="1:16" x14ac:dyDescent="0.2">
      <c r="A16" s="2" t="s">
        <v>10</v>
      </c>
      <c r="B16" s="4">
        <f>data!E22</f>
        <v>50923</v>
      </c>
      <c r="C16" s="4">
        <f>data!H22</f>
        <v>59132</v>
      </c>
      <c r="D16" s="7">
        <f>IF(OR(B16=0,C16=0), "", (B16-C16)/C16)</f>
        <v>-0.13882500169113171</v>
      </c>
      <c r="F16" s="4">
        <f>data!E23</f>
        <v>28165.5</v>
      </c>
      <c r="G16" s="4">
        <f>data!H23</f>
        <v>29690.5</v>
      </c>
      <c r="H16" s="7">
        <f>IF(OR(F16=0,G16=0), "", (F16-G16)/G16)</f>
        <v>-5.1363230663006687E-2</v>
      </c>
      <c r="J16" s="4">
        <f>data!E24</f>
        <v>6641</v>
      </c>
      <c r="K16" s="4">
        <f>data!H24</f>
        <v>6907</v>
      </c>
      <c r="L16" s="7">
        <f>IF(OR(J16=0,K16=0), "", (J16-K16)/K16)</f>
        <v>-3.8511654842912989E-2</v>
      </c>
      <c r="N16" s="4">
        <f>data!E25</f>
        <v>85729.5</v>
      </c>
      <c r="O16" s="4">
        <f>data!H25</f>
        <v>95729.5</v>
      </c>
      <c r="P16" s="7">
        <f>IF(OR(N16=0,O16=0), "", (N16-O16)/O16)</f>
        <v>-0.10446100731749357</v>
      </c>
    </row>
    <row r="17" spans="1:16" x14ac:dyDescent="0.2">
      <c r="A17" s="2" t="s">
        <v>174</v>
      </c>
      <c r="B17" s="7">
        <f>B15/11984</f>
        <v>0.43099132176234978</v>
      </c>
      <c r="C17" s="7">
        <f>C15/11984</f>
        <v>0.48456275033377838</v>
      </c>
      <c r="D17" s="7">
        <f>IF(OR(B17=0,C17=0), "", (B17-C17)/C17)</f>
        <v>-0.11055622524539356</v>
      </c>
      <c r="F17" s="7">
        <f>F15/6879</f>
        <v>0.425207152202355</v>
      </c>
      <c r="G17" s="7">
        <f>G15/6879</f>
        <v>0.43000436109899692</v>
      </c>
      <c r="H17" s="7">
        <f>IF(OR(F17=0,G17=0), "", (F17-G17)/G17)</f>
        <v>-1.1156186612575997E-2</v>
      </c>
      <c r="J17" s="7">
        <f>J15/2098</f>
        <v>0.37464251668255483</v>
      </c>
      <c r="K17" s="7">
        <f>K15/2098</f>
        <v>0.37797902764537655</v>
      </c>
      <c r="L17" s="7">
        <f>IF(OR(J17=0,K17=0), "", (J17-K17)/K17)</f>
        <v>-8.8272383354350333E-3</v>
      </c>
      <c r="N17" s="7">
        <f>N15/20220</f>
        <v>0.42645895153313551</v>
      </c>
      <c r="O17" s="7">
        <f>O15/20220</f>
        <v>0.46018793273986153</v>
      </c>
      <c r="P17" s="7">
        <f>IF(OR(N17=0,O17=0), "", (N17-O17)/O17)</f>
        <v>-7.3293927995701239E-2</v>
      </c>
    </row>
    <row r="18" spans="1:16" x14ac:dyDescent="0.2">
      <c r="A18" s="2" t="s">
        <v>175</v>
      </c>
      <c r="B18" s="7">
        <f>B16/107297</f>
        <v>0.47459854422770442</v>
      </c>
      <c r="C18" s="7">
        <f>C16/107297</f>
        <v>0.55110580910929474</v>
      </c>
      <c r="D18" s="7">
        <f>IF(OR(B18=0,C18=0), "", (B18-C18)/C18)</f>
        <v>-0.13882500169113166</v>
      </c>
      <c r="F18" s="7">
        <f>F16/58630</f>
        <v>0.48039399624765478</v>
      </c>
      <c r="G18" s="7">
        <f>G16/58630</f>
        <v>0.50640457103871739</v>
      </c>
      <c r="H18" s="7">
        <f>IF(OR(F18=0,G18=0), "", (F18-G18)/G18)</f>
        <v>-5.1363230663006715E-2</v>
      </c>
      <c r="J18" s="7">
        <f>J16/15550</f>
        <v>0.42707395498392281</v>
      </c>
      <c r="K18" s="7">
        <f>K16/15550</f>
        <v>0.44418006430868168</v>
      </c>
      <c r="L18" s="7">
        <f>IF(OR(J18=0,K18=0), "", (J18-K18)/K18)</f>
        <v>-3.8511654842913044E-2</v>
      </c>
      <c r="N18" s="7">
        <f>N16/181476</f>
        <v>0.4724013092640349</v>
      </c>
      <c r="O18" s="7">
        <f>O16/181476</f>
        <v>0.52750501443717079</v>
      </c>
      <c r="P18" s="7">
        <f>IF(OR(N18=0,O18=0), "", (N18-O18)/O18)</f>
        <v>-0.10446100731749366</v>
      </c>
    </row>
    <row r="19" spans="1:16" x14ac:dyDescent="0.2">
      <c r="D19" s="7"/>
      <c r="H19" s="7"/>
      <c r="L19" s="7"/>
      <c r="P19" s="7"/>
    </row>
    <row r="20" spans="1:16" x14ac:dyDescent="0.2">
      <c r="A20" s="2" t="s">
        <v>11</v>
      </c>
      <c r="B20" s="4">
        <f>data!E30</f>
        <v>7664202</v>
      </c>
      <c r="C20" s="4">
        <f>data!G30</f>
        <v>8722307</v>
      </c>
      <c r="D20" s="7">
        <f>IF(OR(B20=0,C20=0), "", (B20-C20)/C20)</f>
        <v>-0.12131022216943292</v>
      </c>
      <c r="F20" s="4">
        <f>data!E42</f>
        <v>3927105</v>
      </c>
      <c r="G20" s="4">
        <f>data!G42</f>
        <v>4003857</v>
      </c>
      <c r="H20" s="7">
        <f>IF(OR(F20=0,G20=0), "", (F20-G20)/G20)</f>
        <v>-1.9169515794395256E-2</v>
      </c>
      <c r="J20" s="4">
        <f>data!E54</f>
        <v>871686</v>
      </c>
      <c r="K20" s="4">
        <f>data!G54</f>
        <v>939624</v>
      </c>
      <c r="L20" s="7">
        <f>IF(OR(J20=0,K20=0), "", (J20-K20)/K20)</f>
        <v>-7.2303389440882743E-2</v>
      </c>
      <c r="N20" s="4">
        <f>B20+F20+J20</f>
        <v>12462993</v>
      </c>
      <c r="O20" s="4">
        <f>C20+G20+K20</f>
        <v>13665788</v>
      </c>
      <c r="P20" s="7">
        <f>IF(OR(N20=0,O20=0), "", (N20-O20)/O20)</f>
        <v>-8.8015048967538492E-2</v>
      </c>
    </row>
    <row r="21" spans="1:16" x14ac:dyDescent="0.2">
      <c r="A21" s="2" t="s">
        <v>12</v>
      </c>
      <c r="B21" s="4">
        <f>data!E31</f>
        <v>4607598</v>
      </c>
      <c r="C21" s="4">
        <f>data!G31</f>
        <v>5660022</v>
      </c>
      <c r="D21" s="7">
        <f t="shared" ref="D21:D31" si="0">IF(OR(B21=0,C21=0), "", (B21-C21)/C21)</f>
        <v>-0.18593991330775747</v>
      </c>
      <c r="F21" s="4">
        <f>data!E43</f>
        <v>2501437</v>
      </c>
      <c r="G21" s="4">
        <f>data!G43</f>
        <v>2756550</v>
      </c>
      <c r="H21" s="7">
        <f t="shared" ref="H21:H31" si="1">IF(OR(F21=0,G21=0), "", (F21-G21)/G21)</f>
        <v>-9.2547931290925256E-2</v>
      </c>
      <c r="J21" s="4">
        <f>data!E55</f>
        <v>675135</v>
      </c>
      <c r="K21" s="4">
        <f>data!G55</f>
        <v>688926</v>
      </c>
      <c r="L21" s="7">
        <f t="shared" ref="L21:L31" si="2">IF(OR(J21=0,K21=0), "", (J21-K21)/K21)</f>
        <v>-2.0018115153151429E-2</v>
      </c>
      <c r="N21" s="4">
        <f t="shared" ref="N21:O31" si="3">B21+F21+J21</f>
        <v>7784170</v>
      </c>
      <c r="O21" s="4">
        <f t="shared" ref="O21:O31" si="4">C21+G21+K21</f>
        <v>9105498</v>
      </c>
      <c r="P21" s="7">
        <f t="shared" ref="P21:P31" si="5">IF(OR(N21=0,O21=0), "", (N21-O21)/O21)</f>
        <v>-0.14511320523051019</v>
      </c>
    </row>
    <row r="22" spans="1:16" x14ac:dyDescent="0.2">
      <c r="A22" s="2" t="s">
        <v>13</v>
      </c>
      <c r="B22" s="4">
        <f>data!E32</f>
        <v>894023</v>
      </c>
      <c r="C22" s="4">
        <f>data!G32</f>
        <v>951089</v>
      </c>
      <c r="D22" s="7">
        <f t="shared" si="0"/>
        <v>-6.0000693941366159E-2</v>
      </c>
      <c r="F22" s="4">
        <f>data!E44</f>
        <v>1244012</v>
      </c>
      <c r="G22" s="4">
        <f>data!G44</f>
        <v>1292247</v>
      </c>
      <c r="H22" s="7">
        <f t="shared" si="1"/>
        <v>-3.7326455391268075E-2</v>
      </c>
      <c r="J22" s="4">
        <f>data!E56</f>
        <v>224694</v>
      </c>
      <c r="K22" s="4">
        <f>data!G56</f>
        <v>226233</v>
      </c>
      <c r="L22" s="7">
        <f t="shared" si="2"/>
        <v>-6.8027210884353739E-3</v>
      </c>
      <c r="N22" s="4">
        <f t="shared" si="3"/>
        <v>2362729</v>
      </c>
      <c r="O22" s="4">
        <f t="shared" si="4"/>
        <v>2469569</v>
      </c>
      <c r="P22" s="7">
        <f t="shared" si="5"/>
        <v>-4.3262609791425141E-2</v>
      </c>
    </row>
    <row r="23" spans="1:16" x14ac:dyDescent="0.2">
      <c r="A23" s="2" t="s">
        <v>171</v>
      </c>
      <c r="B23" s="4">
        <f>data!E33</f>
        <v>0</v>
      </c>
      <c r="C23" s="4">
        <f>data!G33</f>
        <v>-59059</v>
      </c>
      <c r="D23" s="65" t="s">
        <v>176</v>
      </c>
      <c r="F23" s="4">
        <f>data!E45</f>
        <v>0</v>
      </c>
      <c r="G23" s="4">
        <f>data!G45</f>
        <v>-58587</v>
      </c>
      <c r="H23" s="65" t="s">
        <v>176</v>
      </c>
      <c r="J23" s="4">
        <f>data!E57</f>
        <v>0</v>
      </c>
      <c r="K23" s="4">
        <f>data!G57</f>
        <v>-22794</v>
      </c>
      <c r="L23" s="65" t="s">
        <v>176</v>
      </c>
      <c r="N23" s="4">
        <f t="shared" si="3"/>
        <v>0</v>
      </c>
      <c r="O23" s="4">
        <f t="shared" si="3"/>
        <v>-140440</v>
      </c>
      <c r="P23" s="65" t="s">
        <v>176</v>
      </c>
    </row>
    <row r="24" spans="1:16" x14ac:dyDescent="0.2">
      <c r="A24" s="2" t="s">
        <v>150</v>
      </c>
      <c r="B24" s="4">
        <f>data!E34</f>
        <v>-299980</v>
      </c>
      <c r="C24" s="4">
        <f>data!G34</f>
        <v>-423651</v>
      </c>
      <c r="D24" s="7">
        <f t="shared" si="0"/>
        <v>-0.29191716766867065</v>
      </c>
      <c r="F24" s="4">
        <f>data!E46</f>
        <v>-83768</v>
      </c>
      <c r="G24" s="4">
        <f>data!G46</f>
        <v>-103295</v>
      </c>
      <c r="H24" s="7">
        <f t="shared" si="1"/>
        <v>-0.18904109589041096</v>
      </c>
      <c r="J24" s="4">
        <f>data!E58</f>
        <v>-14716</v>
      </c>
      <c r="K24" s="4">
        <f>data!G58</f>
        <v>-73014</v>
      </c>
      <c r="L24" s="7">
        <f t="shared" si="2"/>
        <v>-0.79844961240310075</v>
      </c>
      <c r="N24" s="4">
        <f t="shared" si="3"/>
        <v>-398464</v>
      </c>
      <c r="O24" s="4">
        <f t="shared" si="4"/>
        <v>-599960</v>
      </c>
      <c r="P24" s="7">
        <f t="shared" si="5"/>
        <v>-0.33584905660377357</v>
      </c>
    </row>
    <row r="25" spans="1:16" x14ac:dyDescent="0.2">
      <c r="A25" s="2" t="s">
        <v>153</v>
      </c>
      <c r="B25" s="4">
        <f>data!E35</f>
        <v>-514105</v>
      </c>
      <c r="C25" s="4">
        <f>data!G35</f>
        <v>-486267</v>
      </c>
      <c r="D25" s="7">
        <f t="shared" si="0"/>
        <v>5.7248384118190214E-2</v>
      </c>
      <c r="F25" s="4">
        <f>data!E47</f>
        <v>-355608</v>
      </c>
      <c r="G25" s="4">
        <f>data!G47</f>
        <v>-396018</v>
      </c>
      <c r="H25" s="7">
        <f t="shared" si="1"/>
        <v>-0.10204081632653061</v>
      </c>
      <c r="J25" s="4">
        <f>data!E59</f>
        <v>-180947</v>
      </c>
      <c r="K25" s="4">
        <f>data!G59</f>
        <v>-155803</v>
      </c>
      <c r="L25" s="7">
        <f t="shared" si="2"/>
        <v>0.16138328530259366</v>
      </c>
      <c r="N25" s="4">
        <f t="shared" si="3"/>
        <v>-1050660</v>
      </c>
      <c r="O25" s="4">
        <f t="shared" si="4"/>
        <v>-1038088</v>
      </c>
      <c r="P25" s="7">
        <f t="shared" si="5"/>
        <v>1.2110726643598616E-2</v>
      </c>
    </row>
    <row r="26" spans="1:16" x14ac:dyDescent="0.2">
      <c r="A26" s="2" t="s">
        <v>151</v>
      </c>
      <c r="B26" s="4">
        <f>data!E36</f>
        <v>2020620</v>
      </c>
      <c r="C26" s="4">
        <f>data!G36</f>
        <v>2415405</v>
      </c>
      <c r="D26" s="7">
        <f t="shared" si="0"/>
        <v>-0.16344463971880491</v>
      </c>
      <c r="F26" s="4">
        <f>data!E48</f>
        <v>1611968</v>
      </c>
      <c r="G26" s="4">
        <f>data!G48</f>
        <v>1667153</v>
      </c>
      <c r="H26" s="7">
        <f t="shared" si="1"/>
        <v>-3.3101341028687829E-2</v>
      </c>
      <c r="J26" s="4">
        <f>data!E60</f>
        <v>495250</v>
      </c>
      <c r="K26" s="4">
        <f>data!G60</f>
        <v>570528</v>
      </c>
      <c r="L26" s="7">
        <f t="shared" si="2"/>
        <v>-0.13194444444444445</v>
      </c>
      <c r="N26" s="4">
        <f t="shared" si="3"/>
        <v>4127838</v>
      </c>
      <c r="O26" s="4">
        <f t="shared" si="4"/>
        <v>4653086</v>
      </c>
      <c r="P26" s="7">
        <f t="shared" si="5"/>
        <v>-0.11288164456878726</v>
      </c>
    </row>
    <row r="27" spans="1:16" x14ac:dyDescent="0.2">
      <c r="A27" s="2" t="s">
        <v>152</v>
      </c>
      <c r="B27" s="4">
        <f>data!E37</f>
        <v>1000</v>
      </c>
      <c r="C27" s="4">
        <f>data!G37</f>
        <v>-10254</v>
      </c>
      <c r="D27" s="7">
        <f t="shared" si="0"/>
        <v>-1.0975229178857031</v>
      </c>
      <c r="F27" s="4">
        <f>data!E49</f>
        <v>-19083</v>
      </c>
      <c r="G27" s="4">
        <f>data!G49</f>
        <v>-23718</v>
      </c>
      <c r="H27" s="7">
        <f t="shared" si="1"/>
        <v>-0.19542119908929928</v>
      </c>
      <c r="J27" s="4">
        <f>data!E61</f>
        <v>-72825</v>
      </c>
      <c r="K27" s="4">
        <f>data!G61</f>
        <v>-71316</v>
      </c>
      <c r="L27" s="7">
        <f t="shared" si="2"/>
        <v>2.1159347131078581E-2</v>
      </c>
      <c r="N27" s="4">
        <f t="shared" si="3"/>
        <v>-90908</v>
      </c>
      <c r="O27" s="4">
        <f t="shared" si="4"/>
        <v>-105288</v>
      </c>
      <c r="P27" s="7">
        <f t="shared" si="5"/>
        <v>-0.13657776764683535</v>
      </c>
    </row>
    <row r="28" spans="1:16" x14ac:dyDescent="0.2">
      <c r="A28" s="2" t="s">
        <v>15</v>
      </c>
      <c r="B28" s="4">
        <f>data!E38</f>
        <v>994713.5</v>
      </c>
      <c r="C28" s="4">
        <f>data!G38</f>
        <v>1156790.7</v>
      </c>
      <c r="D28" s="7">
        <f t="shared" si="0"/>
        <v>-0.14010935599672436</v>
      </c>
      <c r="F28" s="4">
        <f>data!E50</f>
        <v>650677</v>
      </c>
      <c r="G28" s="4">
        <f>data!G50</f>
        <v>1198192.5</v>
      </c>
      <c r="H28" s="7">
        <f t="shared" si="1"/>
        <v>-0.45695119941077916</v>
      </c>
      <c r="J28" s="4">
        <f>data!E62</f>
        <v>70245</v>
      </c>
      <c r="K28" s="4">
        <f>data!G62</f>
        <v>68561</v>
      </c>
      <c r="L28" s="7">
        <f t="shared" si="2"/>
        <v>2.4562068814632226E-2</v>
      </c>
      <c r="N28" s="4">
        <f t="shared" si="3"/>
        <v>1715635.5</v>
      </c>
      <c r="O28" s="4">
        <f t="shared" si="4"/>
        <v>2423544.2000000002</v>
      </c>
      <c r="P28" s="7">
        <f t="shared" si="5"/>
        <v>-0.29209646764436981</v>
      </c>
    </row>
    <row r="29" spans="1:16" x14ac:dyDescent="0.2">
      <c r="A29" s="2" t="s">
        <v>155</v>
      </c>
      <c r="B29" s="4">
        <f>data!E39</f>
        <v>1717882</v>
      </c>
      <c r="C29" s="4">
        <f>data!G39</f>
        <v>2036278</v>
      </c>
      <c r="D29" s="7">
        <f t="shared" si="0"/>
        <v>-0.15636175414162506</v>
      </c>
      <c r="F29" s="4">
        <f>data!E51</f>
        <v>1552833.5</v>
      </c>
      <c r="G29" s="4">
        <f>data!G51</f>
        <v>834028</v>
      </c>
      <c r="H29" s="7">
        <f t="shared" si="1"/>
        <v>0.86184816337101389</v>
      </c>
      <c r="J29" s="4">
        <f>data!E63-data!D69</f>
        <v>230086</v>
      </c>
      <c r="K29" s="4">
        <f>data!G63-data!F69</f>
        <v>238843</v>
      </c>
      <c r="L29" s="7">
        <f t="shared" si="2"/>
        <v>-3.6664252249385583E-2</v>
      </c>
      <c r="N29" s="4">
        <f t="shared" si="3"/>
        <v>3500801.5</v>
      </c>
      <c r="O29" s="4">
        <f t="shared" si="4"/>
        <v>3109149</v>
      </c>
      <c r="P29" s="7">
        <f t="shared" si="5"/>
        <v>0.12596774873124447</v>
      </c>
    </row>
    <row r="30" spans="1:16" x14ac:dyDescent="0.2">
      <c r="A30" s="2" t="s">
        <v>156</v>
      </c>
      <c r="B30" s="4">
        <f>data!E40</f>
        <v>305412</v>
      </c>
      <c r="C30" s="4">
        <f>data!G40</f>
        <v>355194</v>
      </c>
      <c r="D30" s="7">
        <f t="shared" si="0"/>
        <v>-0.1401543944999071</v>
      </c>
      <c r="F30" s="4">
        <f>data!E52</f>
        <v>69318</v>
      </c>
      <c r="G30" s="4">
        <f>data!G52</f>
        <v>87774</v>
      </c>
      <c r="H30" s="7">
        <f t="shared" si="1"/>
        <v>-0.21026727732585959</v>
      </c>
      <c r="J30" s="4">
        <f>data!D69</f>
        <v>39348</v>
      </c>
      <c r="K30" s="4">
        <f>data!F69</f>
        <v>41424</v>
      </c>
      <c r="L30" s="7">
        <f t="shared" si="2"/>
        <v>-5.011587485515643E-2</v>
      </c>
      <c r="N30" s="4">
        <f t="shared" si="3"/>
        <v>414078</v>
      </c>
      <c r="O30" s="4">
        <f t="shared" si="4"/>
        <v>484392</v>
      </c>
      <c r="P30" s="7">
        <f t="shared" si="5"/>
        <v>-0.14515929247386414</v>
      </c>
    </row>
    <row r="31" spans="1:16" x14ac:dyDescent="0.2">
      <c r="A31" s="2" t="s">
        <v>157</v>
      </c>
      <c r="B31" s="4">
        <f>data!E41</f>
        <v>552922</v>
      </c>
      <c r="C31" s="4">
        <f>data!G41</f>
        <v>650124</v>
      </c>
      <c r="D31" s="7">
        <f t="shared" si="0"/>
        <v>-0.14951301597849026</v>
      </c>
      <c r="F31" s="4">
        <f>data!E53</f>
        <v>355423.5</v>
      </c>
      <c r="G31" s="4">
        <f>data!G53</f>
        <v>360699.5</v>
      </c>
      <c r="H31" s="7">
        <f t="shared" si="1"/>
        <v>-1.4627134221145302E-2</v>
      </c>
      <c r="J31" s="4">
        <f>data!E64</f>
        <v>76375</v>
      </c>
      <c r="K31" s="4">
        <f>data!G64</f>
        <v>81451</v>
      </c>
      <c r="L31" s="7">
        <f t="shared" si="2"/>
        <v>-6.2319676860934793E-2</v>
      </c>
      <c r="N31" s="4">
        <f t="shared" si="3"/>
        <v>984720.5</v>
      </c>
      <c r="O31" s="4">
        <f t="shared" si="4"/>
        <v>1092274.5</v>
      </c>
      <c r="P31" s="7">
        <f t="shared" si="5"/>
        <v>-9.8467921754101184E-2</v>
      </c>
    </row>
    <row r="32" spans="1:16" x14ac:dyDescent="0.2">
      <c r="B32" s="4"/>
      <c r="C32" s="4"/>
      <c r="D32" s="7"/>
      <c r="F32" s="4"/>
      <c r="G32" s="4"/>
      <c r="H32" s="7"/>
      <c r="J32" s="4"/>
      <c r="K32" s="4"/>
      <c r="L32" s="7"/>
      <c r="N32" s="4"/>
      <c r="O32" s="4"/>
      <c r="P32" s="7"/>
    </row>
    <row r="33" spans="1:17" x14ac:dyDescent="0.2">
      <c r="A33" s="2" t="s">
        <v>154</v>
      </c>
      <c r="B33" s="4">
        <f>SUM(B20:B31)</f>
        <v>17944287.5</v>
      </c>
      <c r="C33" s="4">
        <f>SUM(C20:C31)</f>
        <v>20967978.699999999</v>
      </c>
      <c r="D33" s="7">
        <f>IF(OR(B33=0,C33=0), "", (B33-C33)/C33)</f>
        <v>-0.14420518273418503</v>
      </c>
      <c r="F33" s="4">
        <f>SUM(F20:F31)</f>
        <v>11454315</v>
      </c>
      <c r="G33" s="4">
        <f>SUM(G20:G31)</f>
        <v>11618883</v>
      </c>
      <c r="H33" s="7">
        <f>IF(OR(F33=0,G33=0), "", (F33-G33)/G33)</f>
        <v>-1.4163840018012059E-2</v>
      </c>
      <c r="J33" s="4">
        <f>SUM(J20:J31)</f>
        <v>2414331</v>
      </c>
      <c r="K33" s="4">
        <f>SUM(K20:K31)</f>
        <v>2532663</v>
      </c>
      <c r="L33" s="7">
        <f>IF(OR(J33=0,K33=0), "", (J33-K33)/K33)</f>
        <v>-4.6722362983152514E-2</v>
      </c>
      <c r="N33" s="4">
        <f>SUM(N20:N31)</f>
        <v>31812933.5</v>
      </c>
      <c r="O33" s="4">
        <f>SUM(O20:O31)</f>
        <v>35119524.700000003</v>
      </c>
      <c r="P33" s="7">
        <f>IF(OR(N33=0,O33=0), "", (N33-O33)/O33)</f>
        <v>-9.4152504290583486E-2</v>
      </c>
    </row>
    <row r="34" spans="1:17" x14ac:dyDescent="0.2">
      <c r="B34" s="4"/>
      <c r="C34" s="4"/>
      <c r="D34" s="7"/>
      <c r="F34" s="4"/>
      <c r="G34" s="4"/>
      <c r="H34" s="7"/>
      <c r="J34" s="4"/>
      <c r="K34" s="4"/>
      <c r="L34" s="7"/>
      <c r="N34" s="4"/>
      <c r="O34" s="4"/>
      <c r="P34" s="7"/>
    </row>
    <row r="35" spans="1:17" x14ac:dyDescent="0.2">
      <c r="B35" s="66" t="s">
        <v>168</v>
      </c>
      <c r="C35" s="66"/>
      <c r="D35" s="66"/>
      <c r="F35" s="66" t="s">
        <v>168</v>
      </c>
      <c r="G35" s="66"/>
      <c r="H35" s="66"/>
      <c r="J35" s="66" t="s">
        <v>168</v>
      </c>
      <c r="K35" s="66"/>
      <c r="L35" s="66"/>
      <c r="N35" s="66" t="s">
        <v>168</v>
      </c>
      <c r="O35" s="66"/>
      <c r="P35" s="66"/>
    </row>
    <row r="36" spans="1:17" x14ac:dyDescent="0.2">
      <c r="B36" s="21" t="s">
        <v>129</v>
      </c>
      <c r="C36" s="21" t="s">
        <v>167</v>
      </c>
      <c r="D36" s="22" t="s">
        <v>130</v>
      </c>
      <c r="E36" s="11"/>
      <c r="F36" s="21" t="s">
        <v>129</v>
      </c>
      <c r="G36" s="21" t="s">
        <v>167</v>
      </c>
      <c r="H36" s="22" t="s">
        <v>130</v>
      </c>
      <c r="I36" s="11"/>
      <c r="J36" s="21" t="s">
        <v>129</v>
      </c>
      <c r="K36" s="21" t="s">
        <v>167</v>
      </c>
      <c r="L36" s="22" t="s">
        <v>130</v>
      </c>
      <c r="M36" s="11"/>
      <c r="N36" s="21" t="s">
        <v>129</v>
      </c>
      <c r="O36" s="21" t="s">
        <v>167</v>
      </c>
      <c r="P36" s="22" t="s">
        <v>130</v>
      </c>
    </row>
    <row r="37" spans="1:17" ht="16.5" customHeight="1" x14ac:dyDescent="0.2">
      <c r="A37" s="5" t="s">
        <v>169</v>
      </c>
      <c r="B37" s="20">
        <f>'uaa PI'!I44</f>
        <v>10977.925389181419</v>
      </c>
      <c r="C37" s="20" t="s">
        <v>167</v>
      </c>
      <c r="D37" s="20">
        <f>'uaa PI'!K44</f>
        <v>15225.104553324778</v>
      </c>
      <c r="E37" s="11"/>
      <c r="F37" s="20">
        <f>'uaf PI'!I44</f>
        <v>6632.3691242333134</v>
      </c>
      <c r="G37" s="20" t="s">
        <v>167</v>
      </c>
      <c r="H37" s="20">
        <f>'uaf PI'!K44</f>
        <v>11013.070670674113</v>
      </c>
      <c r="I37" s="11"/>
      <c r="J37" s="20">
        <f>'uas PI'!I44</f>
        <v>1730.6974263295224</v>
      </c>
      <c r="K37" s="20" t="s">
        <v>167</v>
      </c>
      <c r="L37" s="20">
        <f>'uas PI'!K44</f>
        <v>3183.5719354952889</v>
      </c>
      <c r="M37" s="11"/>
      <c r="N37" s="20">
        <f>'system PI'!I44</f>
        <v>17812.179270694643</v>
      </c>
      <c r="O37" s="20" t="s">
        <v>167</v>
      </c>
      <c r="P37" s="20">
        <f>'system PI'!K44</f>
        <v>26328.213123451686</v>
      </c>
      <c r="Q37" s="63"/>
    </row>
    <row r="38" spans="1:17" x14ac:dyDescent="0.2">
      <c r="A38" s="5" t="s">
        <v>131</v>
      </c>
      <c r="B38" s="23"/>
      <c r="C38" s="23">
        <f>'uaa PI'!I36</f>
        <v>8.6626591403889979E-6</v>
      </c>
      <c r="D38" s="23"/>
      <c r="E38" s="23"/>
      <c r="F38" s="23"/>
      <c r="G38" s="23">
        <f>'uaf PI'!I36</f>
        <v>0.11921729086609054</v>
      </c>
      <c r="H38" s="23"/>
      <c r="I38" s="23"/>
      <c r="J38" s="23"/>
      <c r="K38" s="23">
        <f>'uas PI'!I36</f>
        <v>3.8955241741607213E-4</v>
      </c>
      <c r="L38" s="23"/>
      <c r="M38" s="23"/>
      <c r="N38" s="23"/>
      <c r="O38" s="23">
        <f>'system PI'!I36</f>
        <v>5.1389395603275939E-5</v>
      </c>
      <c r="P38" s="23"/>
      <c r="Q38" s="63"/>
    </row>
    <row r="39" spans="1:17" x14ac:dyDescent="0.2">
      <c r="A39" s="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63"/>
    </row>
    <row r="40" spans="1:17" x14ac:dyDescent="0.2">
      <c r="A40" s="5" t="s">
        <v>166</v>
      </c>
      <c r="B40" s="66">
        <v>13143</v>
      </c>
      <c r="C40" s="66"/>
      <c r="D40" s="66"/>
      <c r="E40" s="23"/>
      <c r="F40" s="66">
        <v>7490</v>
      </c>
      <c r="G40" s="66"/>
      <c r="H40" s="66"/>
      <c r="I40" s="23"/>
      <c r="J40" s="66">
        <v>2293</v>
      </c>
      <c r="K40" s="66"/>
      <c r="L40" s="66"/>
      <c r="M40" s="23"/>
      <c r="N40" s="66">
        <v>22093</v>
      </c>
      <c r="O40" s="66"/>
      <c r="P40" s="66"/>
      <c r="Q40" s="63"/>
    </row>
    <row r="41" spans="1:17" x14ac:dyDescent="0.2">
      <c r="B41" s="4"/>
      <c r="C41" s="4"/>
      <c r="F41" s="4"/>
      <c r="G41" s="4"/>
      <c r="J41" s="4"/>
      <c r="K41" s="4"/>
      <c r="N41" s="4"/>
      <c r="O41" s="4"/>
    </row>
    <row r="42" spans="1:17" x14ac:dyDescent="0.2">
      <c r="B42" s="4"/>
      <c r="C42" s="4"/>
      <c r="D42" s="7"/>
      <c r="F42" s="4"/>
      <c r="G42" s="4"/>
      <c r="H42" s="7"/>
      <c r="J42" s="4"/>
      <c r="K42" s="4"/>
      <c r="L42" s="7"/>
      <c r="N42" s="4"/>
      <c r="O42" s="4"/>
      <c r="P42" s="7"/>
    </row>
    <row r="43" spans="1:17" x14ac:dyDescent="0.2">
      <c r="B43" s="4"/>
      <c r="C43" s="4"/>
      <c r="F43" s="4"/>
      <c r="G43" s="4"/>
      <c r="J43" s="4"/>
      <c r="K43" s="4"/>
      <c r="N43" s="4"/>
      <c r="O43" s="4"/>
    </row>
    <row r="44" spans="1:17" x14ac:dyDescent="0.2">
      <c r="B44" s="4"/>
      <c r="C44" s="4"/>
      <c r="F44" s="4"/>
      <c r="G44" s="4"/>
      <c r="J44" s="4"/>
      <c r="K44" s="4"/>
      <c r="N44" s="4"/>
      <c r="O44" s="4"/>
    </row>
    <row r="45" spans="1:17" s="1" customFormat="1" ht="12" x14ac:dyDescent="0.25">
      <c r="A45" s="8"/>
      <c r="P45" s="8"/>
    </row>
    <row r="53" spans="1:1" hidden="1" x14ac:dyDescent="0.2"/>
    <row r="54" spans="1:1" hidden="1" x14ac:dyDescent="0.2">
      <c r="A54" s="9" t="s">
        <v>14</v>
      </c>
    </row>
    <row r="55" spans="1:1" hidden="1" x14ac:dyDescent="0.2">
      <c r="A55" s="64" t="s">
        <v>177</v>
      </c>
    </row>
    <row r="56" spans="1:1" hidden="1" x14ac:dyDescent="0.2"/>
    <row r="57" spans="1:1" hidden="1" x14ac:dyDescent="0.2">
      <c r="A57" s="3">
        <f>data!B2</f>
        <v>44347</v>
      </c>
    </row>
    <row r="58" spans="1:1" hidden="1" x14ac:dyDescent="0.2">
      <c r="A58" s="3">
        <f>data!J2</f>
        <v>43983</v>
      </c>
    </row>
  </sheetData>
  <dataConsolidate/>
  <mergeCells count="16">
    <mergeCell ref="A1:P1"/>
    <mergeCell ref="N6:P6"/>
    <mergeCell ref="A2:P2"/>
    <mergeCell ref="A3:P3"/>
    <mergeCell ref="A4:L4"/>
    <mergeCell ref="B6:D6"/>
    <mergeCell ref="F6:H6"/>
    <mergeCell ref="J6:L6"/>
    <mergeCell ref="B40:D40"/>
    <mergeCell ref="F40:H40"/>
    <mergeCell ref="J40:L40"/>
    <mergeCell ref="N40:P40"/>
    <mergeCell ref="B35:D35"/>
    <mergeCell ref="F35:H35"/>
    <mergeCell ref="J35:L35"/>
    <mergeCell ref="N35:P35"/>
  </mergeCells>
  <phoneticPr fontId="0" type="noConversion"/>
  <pageMargins left="0.25" right="0.25" top="0.75" bottom="0.25" header="0.3" footer="0.3"/>
  <pageSetup paperSize="5" fitToHeight="0" orientation="landscape" r:id="rId1"/>
  <headerFooter alignWithMargins="0">
    <oddFooter>&amp;L&amp;G&amp;Cwww.alaska.edu/ir/reporting/&amp;R&amp;D</oddFooter>
  </headerFooter>
  <ignoredErrors>
    <ignoredError sqref="B12:C13 J12:K13 F12:G13 N12:O13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zoomScale="80" zoomScaleNormal="80" workbookViewId="0">
      <selection activeCell="E25" sqref="E25"/>
    </sheetView>
  </sheetViews>
  <sheetFormatPr defaultColWidth="8.77734375" defaultRowHeight="13.2" x14ac:dyDescent="0.25"/>
  <cols>
    <col min="1" max="1" width="9.77734375" customWidth="1"/>
    <col min="2" max="2" width="14.77734375" style="10" bestFit="1" customWidth="1"/>
    <col min="3" max="3" width="6.44140625" style="10" bestFit="1" customWidth="1"/>
    <col min="4" max="4" width="14.33203125" style="10" customWidth="1"/>
    <col min="5" max="5" width="18.44140625" style="10" bestFit="1" customWidth="1"/>
    <col min="6" max="6" width="13.77734375" style="10" bestFit="1" customWidth="1"/>
    <col min="7" max="7" width="11" style="10" bestFit="1" customWidth="1"/>
    <col min="8" max="8" width="9" style="10" bestFit="1" customWidth="1"/>
    <col min="9" max="9" width="7.44140625" style="10" bestFit="1" customWidth="1"/>
    <col min="10" max="10" width="13.77734375" style="10" bestFit="1" customWidth="1"/>
    <col min="11" max="12" width="12.109375" style="10" bestFit="1" customWidth="1"/>
    <col min="13" max="15" width="11" style="10" bestFit="1" customWidth="1"/>
    <col min="16" max="16" width="8.77734375" style="10"/>
    <col min="17" max="17" width="10.109375" style="10" bestFit="1" customWidth="1"/>
    <col min="18" max="24" width="8.77734375" style="10"/>
    <col min="25" max="25" width="13.77734375" style="10" bestFit="1" customWidth="1"/>
    <col min="26" max="31" width="8.77734375" style="10"/>
  </cols>
  <sheetData>
    <row r="1" spans="1:31" x14ac:dyDescent="0.25">
      <c r="A1" s="71" t="s">
        <v>41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s="10" t="s">
        <v>46</v>
      </c>
    </row>
    <row r="2" spans="1:31" x14ac:dyDescent="0.25">
      <c r="A2" s="71"/>
      <c r="B2" s="54">
        <v>44347</v>
      </c>
      <c r="C2" t="s">
        <v>29</v>
      </c>
      <c r="D2" t="s">
        <v>30</v>
      </c>
      <c r="E2" t="s">
        <v>31</v>
      </c>
      <c r="F2">
        <v>66</v>
      </c>
      <c r="G2">
        <v>317</v>
      </c>
      <c r="H2">
        <v>61</v>
      </c>
      <c r="I2">
        <v>253</v>
      </c>
      <c r="J2" s="54">
        <v>43983</v>
      </c>
      <c r="K2">
        <v>72</v>
      </c>
      <c r="L2">
        <v>327</v>
      </c>
      <c r="M2">
        <v>67</v>
      </c>
      <c r="N2">
        <v>289</v>
      </c>
      <c r="Q2" s="54">
        <v>44347</v>
      </c>
      <c r="R2" t="s">
        <v>29</v>
      </c>
      <c r="S2" t="s">
        <v>30</v>
      </c>
      <c r="T2" t="s">
        <v>31</v>
      </c>
      <c r="U2">
        <v>66</v>
      </c>
      <c r="V2">
        <v>317</v>
      </c>
      <c r="W2">
        <v>61</v>
      </c>
      <c r="X2">
        <v>253</v>
      </c>
      <c r="Y2" s="54">
        <v>43983</v>
      </c>
      <c r="Z2">
        <v>72</v>
      </c>
      <c r="AA2">
        <v>327</v>
      </c>
      <c r="AB2">
        <v>67</v>
      </c>
      <c r="AC2">
        <v>289</v>
      </c>
      <c r="AE2" s="10" t="str">
        <f>IF(E2=T2, "", "XXXXX")</f>
        <v/>
      </c>
    </row>
    <row r="3" spans="1:31" x14ac:dyDescent="0.25">
      <c r="A3" s="71"/>
      <c r="B3" s="54">
        <v>44347</v>
      </c>
      <c r="C3" t="s">
        <v>29</v>
      </c>
      <c r="D3" t="s">
        <v>32</v>
      </c>
      <c r="E3" t="s">
        <v>33</v>
      </c>
      <c r="F3">
        <v>315</v>
      </c>
      <c r="G3">
        <v>2277</v>
      </c>
      <c r="H3">
        <v>260</v>
      </c>
      <c r="I3">
        <v>1585</v>
      </c>
      <c r="J3" s="54">
        <v>43983</v>
      </c>
      <c r="K3">
        <v>305</v>
      </c>
      <c r="L3">
        <v>2000</v>
      </c>
      <c r="M3">
        <v>264</v>
      </c>
      <c r="N3">
        <v>1617</v>
      </c>
      <c r="Q3" s="54">
        <v>44347</v>
      </c>
      <c r="R3" t="s">
        <v>29</v>
      </c>
      <c r="S3" t="s">
        <v>32</v>
      </c>
      <c r="T3" t="s">
        <v>33</v>
      </c>
      <c r="U3">
        <v>315</v>
      </c>
      <c r="V3">
        <v>2277</v>
      </c>
      <c r="W3">
        <v>260</v>
      </c>
      <c r="X3">
        <v>1585</v>
      </c>
      <c r="Y3" s="54">
        <v>43983</v>
      </c>
      <c r="Z3">
        <v>305</v>
      </c>
      <c r="AA3">
        <v>2000</v>
      </c>
      <c r="AB3">
        <v>264</v>
      </c>
      <c r="AC3">
        <v>1617</v>
      </c>
      <c r="AE3" s="10" t="str">
        <f t="shared" ref="AE3:AE17" si="0">IF(E3=T3, "", "XXXXX")</f>
        <v/>
      </c>
    </row>
    <row r="4" spans="1:31" x14ac:dyDescent="0.25">
      <c r="A4" s="71"/>
      <c r="B4" s="54">
        <v>44347</v>
      </c>
      <c r="C4" t="s">
        <v>29</v>
      </c>
      <c r="D4" t="s">
        <v>34</v>
      </c>
      <c r="E4" t="s">
        <v>35</v>
      </c>
      <c r="F4">
        <v>642</v>
      </c>
      <c r="G4">
        <v>3306</v>
      </c>
      <c r="H4">
        <v>534</v>
      </c>
      <c r="I4">
        <v>2103</v>
      </c>
      <c r="J4" s="54">
        <v>43983</v>
      </c>
      <c r="K4">
        <v>574</v>
      </c>
      <c r="L4">
        <v>2696</v>
      </c>
      <c r="M4">
        <v>491</v>
      </c>
      <c r="N4">
        <v>1989</v>
      </c>
      <c r="Q4" s="54">
        <v>44347</v>
      </c>
      <c r="R4" t="s">
        <v>29</v>
      </c>
      <c r="S4" t="s">
        <v>34</v>
      </c>
      <c r="T4" t="s">
        <v>35</v>
      </c>
      <c r="U4">
        <v>642</v>
      </c>
      <c r="V4">
        <v>3306</v>
      </c>
      <c r="W4">
        <v>534</v>
      </c>
      <c r="X4">
        <v>2103</v>
      </c>
      <c r="Y4" s="54">
        <v>43983</v>
      </c>
      <c r="Z4">
        <v>574</v>
      </c>
      <c r="AA4">
        <v>2696</v>
      </c>
      <c r="AB4">
        <v>491</v>
      </c>
      <c r="AC4">
        <v>1989</v>
      </c>
      <c r="AE4" s="10" t="str">
        <f t="shared" si="0"/>
        <v/>
      </c>
    </row>
    <row r="5" spans="1:31" x14ac:dyDescent="0.25">
      <c r="A5" s="71"/>
      <c r="B5" s="54">
        <v>44347</v>
      </c>
      <c r="C5" t="s">
        <v>29</v>
      </c>
      <c r="D5" t="s">
        <v>36</v>
      </c>
      <c r="E5" t="s">
        <v>37</v>
      </c>
      <c r="F5">
        <v>54</v>
      </c>
      <c r="G5">
        <v>182</v>
      </c>
      <c r="H5">
        <v>39</v>
      </c>
      <c r="I5">
        <v>35</v>
      </c>
      <c r="J5" s="54">
        <v>43983</v>
      </c>
      <c r="K5">
        <v>45</v>
      </c>
      <c r="L5">
        <v>183</v>
      </c>
      <c r="M5">
        <v>30</v>
      </c>
      <c r="N5">
        <v>30</v>
      </c>
      <c r="Q5" s="54">
        <v>44347</v>
      </c>
      <c r="R5" t="s">
        <v>29</v>
      </c>
      <c r="S5" t="s">
        <v>36</v>
      </c>
      <c r="T5" t="s">
        <v>37</v>
      </c>
      <c r="U5">
        <v>54</v>
      </c>
      <c r="V5">
        <v>182</v>
      </c>
      <c r="W5">
        <v>39</v>
      </c>
      <c r="X5">
        <v>35</v>
      </c>
      <c r="Y5" s="54">
        <v>43983</v>
      </c>
      <c r="Z5">
        <v>45</v>
      </c>
      <c r="AA5">
        <v>183</v>
      </c>
      <c r="AB5">
        <v>30</v>
      </c>
      <c r="AC5">
        <v>30</v>
      </c>
      <c r="AE5" s="10" t="str">
        <f t="shared" si="0"/>
        <v/>
      </c>
    </row>
    <row r="6" spans="1:31" x14ac:dyDescent="0.25">
      <c r="A6" s="71"/>
      <c r="B6" s="54">
        <v>44347</v>
      </c>
      <c r="C6" t="s">
        <v>38</v>
      </c>
      <c r="D6" t="s">
        <v>30</v>
      </c>
      <c r="E6" t="s">
        <v>31</v>
      </c>
      <c r="F6">
        <v>58</v>
      </c>
      <c r="G6">
        <v>240</v>
      </c>
      <c r="H6">
        <v>53</v>
      </c>
      <c r="I6">
        <v>187</v>
      </c>
      <c r="J6" s="54">
        <v>43983</v>
      </c>
      <c r="K6">
        <v>86</v>
      </c>
      <c r="L6">
        <v>229</v>
      </c>
      <c r="M6">
        <v>74</v>
      </c>
      <c r="N6">
        <v>147</v>
      </c>
      <c r="Q6" s="54">
        <v>44347</v>
      </c>
      <c r="R6" t="s">
        <v>38</v>
      </c>
      <c r="S6" t="s">
        <v>30</v>
      </c>
      <c r="T6" t="s">
        <v>31</v>
      </c>
      <c r="U6">
        <v>58</v>
      </c>
      <c r="V6">
        <v>240</v>
      </c>
      <c r="W6">
        <v>53</v>
      </c>
      <c r="X6">
        <v>187</v>
      </c>
      <c r="Y6" s="54">
        <v>43983</v>
      </c>
      <c r="Z6">
        <v>86</v>
      </c>
      <c r="AA6">
        <v>229</v>
      </c>
      <c r="AB6">
        <v>74</v>
      </c>
      <c r="AC6">
        <v>147</v>
      </c>
      <c r="AE6" s="10" t="str">
        <f t="shared" si="0"/>
        <v/>
      </c>
    </row>
    <row r="7" spans="1:31" x14ac:dyDescent="0.25">
      <c r="A7" s="71"/>
      <c r="B7" s="54">
        <v>44347</v>
      </c>
      <c r="C7" t="s">
        <v>38</v>
      </c>
      <c r="D7" t="s">
        <v>32</v>
      </c>
      <c r="E7" t="s">
        <v>33</v>
      </c>
      <c r="F7">
        <v>270</v>
      </c>
      <c r="G7">
        <v>1292</v>
      </c>
      <c r="H7">
        <v>237</v>
      </c>
      <c r="I7">
        <v>952</v>
      </c>
      <c r="J7" s="54">
        <v>43983</v>
      </c>
      <c r="K7">
        <v>314</v>
      </c>
      <c r="L7">
        <v>1173</v>
      </c>
      <c r="M7">
        <v>289</v>
      </c>
      <c r="N7">
        <v>785</v>
      </c>
      <c r="Q7" s="54">
        <v>44347</v>
      </c>
      <c r="R7" t="s">
        <v>38</v>
      </c>
      <c r="S7" t="s">
        <v>32</v>
      </c>
      <c r="T7" t="s">
        <v>33</v>
      </c>
      <c r="U7">
        <v>270</v>
      </c>
      <c r="V7">
        <v>1292</v>
      </c>
      <c r="W7">
        <v>237</v>
      </c>
      <c r="X7">
        <v>952</v>
      </c>
      <c r="Y7" s="54">
        <v>43983</v>
      </c>
      <c r="Z7">
        <v>314</v>
      </c>
      <c r="AA7">
        <v>1173</v>
      </c>
      <c r="AB7">
        <v>289</v>
      </c>
      <c r="AC7">
        <v>785</v>
      </c>
      <c r="AE7" s="10" t="str">
        <f t="shared" si="0"/>
        <v/>
      </c>
    </row>
    <row r="8" spans="1:31" x14ac:dyDescent="0.25">
      <c r="A8" s="71"/>
      <c r="B8" s="54">
        <v>44347</v>
      </c>
      <c r="C8" t="s">
        <v>38</v>
      </c>
      <c r="D8" t="s">
        <v>34</v>
      </c>
      <c r="E8" t="s">
        <v>35</v>
      </c>
      <c r="F8">
        <v>526</v>
      </c>
      <c r="G8">
        <v>1852</v>
      </c>
      <c r="H8">
        <v>453</v>
      </c>
      <c r="I8">
        <v>1329</v>
      </c>
      <c r="J8" s="54">
        <v>43983</v>
      </c>
      <c r="K8">
        <v>522</v>
      </c>
      <c r="L8">
        <v>1680</v>
      </c>
      <c r="M8">
        <v>462</v>
      </c>
      <c r="N8">
        <v>1109</v>
      </c>
      <c r="Q8" s="54">
        <v>44347</v>
      </c>
      <c r="R8" t="s">
        <v>38</v>
      </c>
      <c r="S8" t="s">
        <v>34</v>
      </c>
      <c r="T8" t="s">
        <v>35</v>
      </c>
      <c r="U8">
        <v>526</v>
      </c>
      <c r="V8">
        <v>1852</v>
      </c>
      <c r="W8">
        <v>453</v>
      </c>
      <c r="X8">
        <v>1329</v>
      </c>
      <c r="Y8" s="54">
        <v>43983</v>
      </c>
      <c r="Z8">
        <v>522</v>
      </c>
      <c r="AA8">
        <v>1680</v>
      </c>
      <c r="AB8">
        <v>462</v>
      </c>
      <c r="AC8">
        <v>1109</v>
      </c>
      <c r="AE8" s="10" t="str">
        <f t="shared" si="0"/>
        <v/>
      </c>
    </row>
    <row r="9" spans="1:31" x14ac:dyDescent="0.25">
      <c r="A9" s="71"/>
      <c r="B9" s="54">
        <v>44347</v>
      </c>
      <c r="C9" t="s">
        <v>38</v>
      </c>
      <c r="D9" t="s">
        <v>36</v>
      </c>
      <c r="E9" t="s">
        <v>37</v>
      </c>
      <c r="F9">
        <v>89</v>
      </c>
      <c r="G9">
        <v>617</v>
      </c>
      <c r="H9">
        <v>71</v>
      </c>
      <c r="I9">
        <v>178</v>
      </c>
      <c r="J9" s="54">
        <v>43983</v>
      </c>
      <c r="K9">
        <v>97</v>
      </c>
      <c r="L9">
        <v>458</v>
      </c>
      <c r="M9">
        <v>70</v>
      </c>
      <c r="N9">
        <v>107</v>
      </c>
      <c r="Q9" s="54">
        <v>44347</v>
      </c>
      <c r="R9" t="s">
        <v>38</v>
      </c>
      <c r="S9" t="s">
        <v>36</v>
      </c>
      <c r="T9" t="s">
        <v>37</v>
      </c>
      <c r="U9">
        <v>89</v>
      </c>
      <c r="V9">
        <v>617</v>
      </c>
      <c r="W9">
        <v>71</v>
      </c>
      <c r="X9">
        <v>178</v>
      </c>
      <c r="Y9" s="54">
        <v>43983</v>
      </c>
      <c r="Z9">
        <v>97</v>
      </c>
      <c r="AA9">
        <v>458</v>
      </c>
      <c r="AB9">
        <v>70</v>
      </c>
      <c r="AC9">
        <v>107</v>
      </c>
      <c r="AE9" s="10" t="str">
        <f t="shared" si="0"/>
        <v/>
      </c>
    </row>
    <row r="10" spans="1:31" x14ac:dyDescent="0.25">
      <c r="A10" s="71"/>
      <c r="B10" s="54">
        <v>44347</v>
      </c>
      <c r="C10" t="s">
        <v>39</v>
      </c>
      <c r="D10" t="s">
        <v>30</v>
      </c>
      <c r="E10" t="s">
        <v>31</v>
      </c>
      <c r="F10">
        <v>8</v>
      </c>
      <c r="G10">
        <v>59</v>
      </c>
      <c r="H10">
        <v>4</v>
      </c>
      <c r="I10">
        <v>35</v>
      </c>
      <c r="J10" s="54">
        <v>43983</v>
      </c>
      <c r="K10">
        <v>8</v>
      </c>
      <c r="L10">
        <v>69</v>
      </c>
      <c r="M10">
        <v>5</v>
      </c>
      <c r="N10">
        <v>33</v>
      </c>
      <c r="Q10" s="54">
        <v>44347</v>
      </c>
      <c r="R10" t="s">
        <v>39</v>
      </c>
      <c r="S10" t="s">
        <v>30</v>
      </c>
      <c r="T10" t="s">
        <v>31</v>
      </c>
      <c r="U10">
        <v>8</v>
      </c>
      <c r="V10">
        <v>59</v>
      </c>
      <c r="W10">
        <v>4</v>
      </c>
      <c r="X10">
        <v>35</v>
      </c>
      <c r="Y10" s="54">
        <v>43983</v>
      </c>
      <c r="Z10">
        <v>8</v>
      </c>
      <c r="AA10">
        <v>69</v>
      </c>
      <c r="AB10">
        <v>5</v>
      </c>
      <c r="AC10">
        <v>33</v>
      </c>
      <c r="AE10" s="10" t="str">
        <f t="shared" si="0"/>
        <v/>
      </c>
    </row>
    <row r="11" spans="1:31" x14ac:dyDescent="0.25">
      <c r="A11" s="71"/>
      <c r="B11" s="54">
        <v>44347</v>
      </c>
      <c r="C11" t="s">
        <v>39</v>
      </c>
      <c r="D11" t="s">
        <v>32</v>
      </c>
      <c r="E11" t="s">
        <v>33</v>
      </c>
      <c r="F11">
        <v>48</v>
      </c>
      <c r="G11">
        <v>329</v>
      </c>
      <c r="H11">
        <v>41</v>
      </c>
      <c r="I11">
        <v>200</v>
      </c>
      <c r="J11" s="54">
        <v>43983</v>
      </c>
      <c r="K11">
        <v>56</v>
      </c>
      <c r="L11">
        <v>323</v>
      </c>
      <c r="M11">
        <v>41</v>
      </c>
      <c r="N11">
        <v>185</v>
      </c>
      <c r="Q11" s="54">
        <v>44347</v>
      </c>
      <c r="R11" t="s">
        <v>39</v>
      </c>
      <c r="S11" t="s">
        <v>32</v>
      </c>
      <c r="T11" t="s">
        <v>33</v>
      </c>
      <c r="U11">
        <v>48</v>
      </c>
      <c r="V11">
        <v>329</v>
      </c>
      <c r="W11">
        <v>41</v>
      </c>
      <c r="X11">
        <v>200</v>
      </c>
      <c r="Y11" s="54">
        <v>43983</v>
      </c>
      <c r="Z11">
        <v>56</v>
      </c>
      <c r="AA11">
        <v>323</v>
      </c>
      <c r="AB11">
        <v>41</v>
      </c>
      <c r="AC11">
        <v>185</v>
      </c>
      <c r="AE11" s="10" t="str">
        <f t="shared" si="0"/>
        <v/>
      </c>
    </row>
    <row r="12" spans="1:31" x14ac:dyDescent="0.25">
      <c r="A12" s="71"/>
      <c r="B12" s="54">
        <v>44347</v>
      </c>
      <c r="C12" t="s">
        <v>39</v>
      </c>
      <c r="D12" t="s">
        <v>34</v>
      </c>
      <c r="E12" t="s">
        <v>35</v>
      </c>
      <c r="F12">
        <v>112</v>
      </c>
      <c r="G12">
        <v>460</v>
      </c>
      <c r="H12">
        <v>93</v>
      </c>
      <c r="I12">
        <v>260</v>
      </c>
      <c r="J12" s="54">
        <v>43983</v>
      </c>
      <c r="K12">
        <v>122</v>
      </c>
      <c r="L12">
        <v>473</v>
      </c>
      <c r="M12">
        <v>96</v>
      </c>
      <c r="N12">
        <v>266</v>
      </c>
      <c r="Q12" s="54">
        <v>44347</v>
      </c>
      <c r="R12" t="s">
        <v>39</v>
      </c>
      <c r="S12" t="s">
        <v>34</v>
      </c>
      <c r="T12" t="s">
        <v>35</v>
      </c>
      <c r="U12">
        <v>112</v>
      </c>
      <c r="V12">
        <v>460</v>
      </c>
      <c r="W12">
        <v>93</v>
      </c>
      <c r="X12">
        <v>260</v>
      </c>
      <c r="Y12" s="54">
        <v>43983</v>
      </c>
      <c r="Z12">
        <v>122</v>
      </c>
      <c r="AA12">
        <v>473</v>
      </c>
      <c r="AB12">
        <v>96</v>
      </c>
      <c r="AC12">
        <v>266</v>
      </c>
      <c r="AE12" s="10" t="str">
        <f t="shared" si="0"/>
        <v/>
      </c>
    </row>
    <row r="13" spans="1:31" x14ac:dyDescent="0.25">
      <c r="A13" s="71"/>
      <c r="B13" s="54">
        <v>44347</v>
      </c>
      <c r="C13" t="s">
        <v>39</v>
      </c>
      <c r="D13" t="s">
        <v>36</v>
      </c>
      <c r="E13" t="s">
        <v>37</v>
      </c>
      <c r="F13">
        <v>5</v>
      </c>
      <c r="G13">
        <v>20</v>
      </c>
      <c r="H13">
        <v>2</v>
      </c>
      <c r="I13">
        <v>4</v>
      </c>
      <c r="J13" s="54">
        <v>43983</v>
      </c>
      <c r="K13">
        <v>2</v>
      </c>
      <c r="L13">
        <v>36</v>
      </c>
      <c r="M13">
        <v>2</v>
      </c>
      <c r="N13">
        <v>4</v>
      </c>
      <c r="Q13" s="54">
        <v>44347</v>
      </c>
      <c r="R13" t="s">
        <v>39</v>
      </c>
      <c r="S13" t="s">
        <v>36</v>
      </c>
      <c r="T13" t="s">
        <v>37</v>
      </c>
      <c r="U13">
        <v>5</v>
      </c>
      <c r="V13">
        <v>20</v>
      </c>
      <c r="W13">
        <v>2</v>
      </c>
      <c r="X13">
        <v>4</v>
      </c>
      <c r="Y13" s="54">
        <v>43983</v>
      </c>
      <c r="Z13">
        <v>2</v>
      </c>
      <c r="AA13">
        <v>36</v>
      </c>
      <c r="AB13">
        <v>2</v>
      </c>
      <c r="AC13">
        <v>4</v>
      </c>
      <c r="AE13" s="10" t="str">
        <f t="shared" si="0"/>
        <v/>
      </c>
    </row>
    <row r="14" spans="1:31" x14ac:dyDescent="0.25">
      <c r="A14" s="71"/>
      <c r="B14" s="54">
        <v>44347</v>
      </c>
      <c r="C14" t="s">
        <v>40</v>
      </c>
      <c r="D14" t="s">
        <v>30</v>
      </c>
      <c r="E14" t="s">
        <v>31</v>
      </c>
      <c r="F14">
        <v>132</v>
      </c>
      <c r="G14">
        <v>616</v>
      </c>
      <c r="H14">
        <v>118</v>
      </c>
      <c r="I14">
        <v>475</v>
      </c>
      <c r="J14" s="54">
        <v>43983</v>
      </c>
      <c r="K14">
        <v>166</v>
      </c>
      <c r="L14">
        <v>625</v>
      </c>
      <c r="M14">
        <v>146</v>
      </c>
      <c r="N14">
        <v>469</v>
      </c>
      <c r="Q14" s="54">
        <v>44347</v>
      </c>
      <c r="R14" t="s">
        <v>40</v>
      </c>
      <c r="S14" t="s">
        <v>30</v>
      </c>
      <c r="T14" t="s">
        <v>31</v>
      </c>
      <c r="U14">
        <v>132</v>
      </c>
      <c r="V14">
        <v>616</v>
      </c>
      <c r="W14">
        <v>118</v>
      </c>
      <c r="X14">
        <v>475</v>
      </c>
      <c r="Y14" s="54">
        <v>43983</v>
      </c>
      <c r="Z14">
        <v>166</v>
      </c>
      <c r="AA14">
        <v>625</v>
      </c>
      <c r="AB14">
        <v>146</v>
      </c>
      <c r="AC14">
        <v>469</v>
      </c>
      <c r="AE14" s="10" t="str">
        <f t="shared" si="0"/>
        <v/>
      </c>
    </row>
    <row r="15" spans="1:31" x14ac:dyDescent="0.25">
      <c r="A15" s="71"/>
      <c r="B15" s="54">
        <v>44347</v>
      </c>
      <c r="C15" t="s">
        <v>40</v>
      </c>
      <c r="D15" t="s">
        <v>32</v>
      </c>
      <c r="E15" t="s">
        <v>33</v>
      </c>
      <c r="F15">
        <v>633</v>
      </c>
      <c r="G15">
        <v>3898</v>
      </c>
      <c r="H15">
        <v>538</v>
      </c>
      <c r="I15">
        <v>2737</v>
      </c>
      <c r="J15" s="54">
        <v>43983</v>
      </c>
      <c r="K15">
        <v>675</v>
      </c>
      <c r="L15">
        <v>3496</v>
      </c>
      <c r="M15">
        <v>594</v>
      </c>
      <c r="N15">
        <v>2587</v>
      </c>
      <c r="Q15" s="54">
        <v>44347</v>
      </c>
      <c r="R15" t="s">
        <v>40</v>
      </c>
      <c r="S15" t="s">
        <v>32</v>
      </c>
      <c r="T15" t="s">
        <v>33</v>
      </c>
      <c r="U15">
        <v>633</v>
      </c>
      <c r="V15">
        <v>3898</v>
      </c>
      <c r="W15">
        <v>538</v>
      </c>
      <c r="X15">
        <v>2737</v>
      </c>
      <c r="Y15" s="54">
        <v>43983</v>
      </c>
      <c r="Z15">
        <v>675</v>
      </c>
      <c r="AA15">
        <v>3496</v>
      </c>
      <c r="AB15">
        <v>594</v>
      </c>
      <c r="AC15">
        <v>2587</v>
      </c>
      <c r="AE15" s="10" t="str">
        <f t="shared" si="0"/>
        <v/>
      </c>
    </row>
    <row r="16" spans="1:31" x14ac:dyDescent="0.25">
      <c r="A16" s="71"/>
      <c r="B16" s="54">
        <v>44347</v>
      </c>
      <c r="C16" t="s">
        <v>40</v>
      </c>
      <c r="D16" t="s">
        <v>34</v>
      </c>
      <c r="E16" t="s">
        <v>35</v>
      </c>
      <c r="F16">
        <v>1280</v>
      </c>
      <c r="G16">
        <v>5618</v>
      </c>
      <c r="H16">
        <v>1080</v>
      </c>
      <c r="I16">
        <v>3692</v>
      </c>
      <c r="J16" s="54">
        <v>43983</v>
      </c>
      <c r="K16">
        <v>1218</v>
      </c>
      <c r="L16">
        <v>4849</v>
      </c>
      <c r="M16">
        <v>1049</v>
      </c>
      <c r="N16">
        <v>3364</v>
      </c>
      <c r="Q16" s="54">
        <v>44347</v>
      </c>
      <c r="R16" t="s">
        <v>40</v>
      </c>
      <c r="S16" t="s">
        <v>34</v>
      </c>
      <c r="T16" t="s">
        <v>35</v>
      </c>
      <c r="U16">
        <v>1280</v>
      </c>
      <c r="V16">
        <v>5618</v>
      </c>
      <c r="W16">
        <v>1080</v>
      </c>
      <c r="X16">
        <v>3692</v>
      </c>
      <c r="Y16" s="54">
        <v>43983</v>
      </c>
      <c r="Z16">
        <v>1218</v>
      </c>
      <c r="AA16">
        <v>4849</v>
      </c>
      <c r="AB16">
        <v>1049</v>
      </c>
      <c r="AC16">
        <v>3364</v>
      </c>
      <c r="AE16" s="10" t="str">
        <f t="shared" si="0"/>
        <v/>
      </c>
    </row>
    <row r="17" spans="1:31" x14ac:dyDescent="0.25">
      <c r="A17" s="71"/>
      <c r="B17" s="54">
        <v>44347</v>
      </c>
      <c r="C17" t="s">
        <v>40</v>
      </c>
      <c r="D17" t="s">
        <v>36</v>
      </c>
      <c r="E17" t="s">
        <v>37</v>
      </c>
      <c r="F17">
        <v>148</v>
      </c>
      <c r="G17">
        <v>819</v>
      </c>
      <c r="H17">
        <v>112</v>
      </c>
      <c r="I17">
        <v>217</v>
      </c>
      <c r="J17" s="54">
        <v>43983</v>
      </c>
      <c r="K17">
        <v>144</v>
      </c>
      <c r="L17">
        <v>677</v>
      </c>
      <c r="M17">
        <v>102</v>
      </c>
      <c r="N17">
        <v>141</v>
      </c>
      <c r="Q17" s="54">
        <v>44347</v>
      </c>
      <c r="R17" t="s">
        <v>40</v>
      </c>
      <c r="S17" t="s">
        <v>36</v>
      </c>
      <c r="T17" t="s">
        <v>37</v>
      </c>
      <c r="U17">
        <v>148</v>
      </c>
      <c r="V17">
        <v>819</v>
      </c>
      <c r="W17">
        <v>112</v>
      </c>
      <c r="X17">
        <v>217</v>
      </c>
      <c r="Y17" s="54">
        <v>43983</v>
      </c>
      <c r="Z17">
        <v>144</v>
      </c>
      <c r="AA17">
        <v>677</v>
      </c>
      <c r="AB17">
        <v>102</v>
      </c>
      <c r="AC17">
        <v>141</v>
      </c>
      <c r="AE17" s="10" t="str">
        <f t="shared" si="0"/>
        <v/>
      </c>
    </row>
    <row r="21" spans="1:31" x14ac:dyDescent="0.25">
      <c r="A21" s="72" t="s">
        <v>43</v>
      </c>
      <c r="B21" t="s">
        <v>42</v>
      </c>
      <c r="C21" t="s">
        <v>158</v>
      </c>
      <c r="D21" t="s">
        <v>159</v>
      </c>
      <c r="E21" t="s">
        <v>160</v>
      </c>
      <c r="F21" t="s">
        <v>24</v>
      </c>
      <c r="G21" t="s">
        <v>161</v>
      </c>
      <c r="H21" t="s">
        <v>162</v>
      </c>
      <c r="J21" t="s">
        <v>42</v>
      </c>
      <c r="K21" t="s">
        <v>158</v>
      </c>
      <c r="L21" t="s">
        <v>159</v>
      </c>
      <c r="M21" t="s">
        <v>160</v>
      </c>
      <c r="N21" t="s">
        <v>24</v>
      </c>
      <c r="O21" t="s">
        <v>161</v>
      </c>
      <c r="P21" t="s">
        <v>162</v>
      </c>
      <c r="R21" s="10" t="s">
        <v>46</v>
      </c>
    </row>
    <row r="22" spans="1:31" x14ac:dyDescent="0.25">
      <c r="A22" s="72"/>
      <c r="B22" s="54">
        <v>44347</v>
      </c>
      <c r="C22" t="s">
        <v>29</v>
      </c>
      <c r="D22">
        <v>5165</v>
      </c>
      <c r="E22">
        <v>50923</v>
      </c>
      <c r="F22" s="54">
        <v>43983</v>
      </c>
      <c r="G22">
        <v>5807</v>
      </c>
      <c r="H22">
        <v>59132</v>
      </c>
      <c r="J22" s="54">
        <v>44347</v>
      </c>
      <c r="K22" t="s">
        <v>29</v>
      </c>
      <c r="L22">
        <v>5165</v>
      </c>
      <c r="M22">
        <v>50923</v>
      </c>
      <c r="N22" s="54">
        <v>43983</v>
      </c>
      <c r="O22">
        <v>5807</v>
      </c>
      <c r="P22">
        <v>59132</v>
      </c>
      <c r="R22" s="10" t="str">
        <f>IF(C22=K22, "", "XXXXX")</f>
        <v/>
      </c>
    </row>
    <row r="23" spans="1:31" x14ac:dyDescent="0.25">
      <c r="A23" s="72"/>
      <c r="B23" s="54">
        <v>44347</v>
      </c>
      <c r="C23" t="s">
        <v>38</v>
      </c>
      <c r="D23">
        <v>2925</v>
      </c>
      <c r="E23">
        <v>28165.5</v>
      </c>
      <c r="F23" s="54">
        <v>43983</v>
      </c>
      <c r="G23">
        <v>2958</v>
      </c>
      <c r="H23">
        <v>29690.5</v>
      </c>
      <c r="J23" s="54">
        <v>44347</v>
      </c>
      <c r="K23" t="s">
        <v>38</v>
      </c>
      <c r="L23">
        <v>2925</v>
      </c>
      <c r="M23">
        <v>28165.5</v>
      </c>
      <c r="N23" s="54">
        <v>43983</v>
      </c>
      <c r="O23">
        <v>2958</v>
      </c>
      <c r="P23">
        <v>29690.5</v>
      </c>
      <c r="R23" s="10" t="str">
        <f>IF(C23=K23, "", "XXXXX")</f>
        <v/>
      </c>
    </row>
    <row r="24" spans="1:31" x14ac:dyDescent="0.25">
      <c r="A24" s="72"/>
      <c r="B24" s="54">
        <v>44347</v>
      </c>
      <c r="C24" t="s">
        <v>39</v>
      </c>
      <c r="D24">
        <v>786</v>
      </c>
      <c r="E24">
        <v>6641</v>
      </c>
      <c r="F24" s="54">
        <v>43983</v>
      </c>
      <c r="G24">
        <v>793</v>
      </c>
      <c r="H24">
        <v>6907</v>
      </c>
      <c r="J24" s="54">
        <v>44347</v>
      </c>
      <c r="K24" t="s">
        <v>39</v>
      </c>
      <c r="L24">
        <v>786</v>
      </c>
      <c r="M24">
        <v>6641</v>
      </c>
      <c r="N24" s="54">
        <v>43983</v>
      </c>
      <c r="O24">
        <v>793</v>
      </c>
      <c r="P24">
        <v>6907</v>
      </c>
      <c r="R24" s="10" t="str">
        <f>IF(C24=K24, "", "XXXXX")</f>
        <v/>
      </c>
    </row>
    <row r="25" spans="1:31" x14ac:dyDescent="0.25">
      <c r="A25" s="72"/>
      <c r="B25" s="54">
        <v>44347</v>
      </c>
      <c r="C25" t="s">
        <v>40</v>
      </c>
      <c r="D25">
        <v>8623</v>
      </c>
      <c r="E25">
        <v>85729.5</v>
      </c>
      <c r="F25" s="54">
        <v>43983</v>
      </c>
      <c r="G25">
        <v>9305</v>
      </c>
      <c r="H25">
        <v>95729.5</v>
      </c>
      <c r="J25" s="54">
        <v>44347</v>
      </c>
      <c r="K25" t="s">
        <v>40</v>
      </c>
      <c r="L25">
        <v>8623</v>
      </c>
      <c r="M25">
        <v>85729.5</v>
      </c>
      <c r="N25" s="54">
        <v>43983</v>
      </c>
      <c r="O25">
        <v>9305</v>
      </c>
      <c r="P25">
        <v>95729.5</v>
      </c>
      <c r="R25" s="10" t="str">
        <f>IF(C25=K25, "", "XXXXX")</f>
        <v/>
      </c>
    </row>
    <row r="29" spans="1:31" ht="12.75" customHeight="1" x14ac:dyDescent="0.25">
      <c r="A29" s="73" t="s">
        <v>44</v>
      </c>
      <c r="B29" t="s">
        <v>42</v>
      </c>
      <c r="C29" t="s">
        <v>17</v>
      </c>
      <c r="D29" t="s">
        <v>136</v>
      </c>
      <c r="E29" t="s">
        <v>137</v>
      </c>
      <c r="F29" t="s">
        <v>24</v>
      </c>
      <c r="G29" t="s">
        <v>138</v>
      </c>
      <c r="J29" t="s">
        <v>42</v>
      </c>
      <c r="K29" t="s">
        <v>17</v>
      </c>
      <c r="L29" t="s">
        <v>136</v>
      </c>
      <c r="M29" t="s">
        <v>137</v>
      </c>
      <c r="N29" t="s">
        <v>24</v>
      </c>
      <c r="O29" t="s">
        <v>138</v>
      </c>
      <c r="Q29" s="10" t="s">
        <v>46</v>
      </c>
    </row>
    <row r="30" spans="1:31" x14ac:dyDescent="0.25">
      <c r="A30" s="73"/>
      <c r="B30" s="54">
        <v>44347</v>
      </c>
      <c r="C30" t="s">
        <v>29</v>
      </c>
      <c r="D30" t="s">
        <v>139</v>
      </c>
      <c r="E30">
        <v>7664202</v>
      </c>
      <c r="F30" s="54">
        <v>43983</v>
      </c>
      <c r="G30">
        <v>8722307</v>
      </c>
      <c r="J30" s="54">
        <v>44347</v>
      </c>
      <c r="K30" t="s">
        <v>29</v>
      </c>
      <c r="L30" t="s">
        <v>139</v>
      </c>
      <c r="M30">
        <v>7664202</v>
      </c>
      <c r="N30" s="54">
        <v>43983</v>
      </c>
      <c r="O30">
        <v>8722307</v>
      </c>
      <c r="Q30" s="10" t="str">
        <f>IF(D30=L30, "", "XXXXX")</f>
        <v/>
      </c>
    </row>
    <row r="31" spans="1:31" x14ac:dyDescent="0.25">
      <c r="A31" s="73"/>
      <c r="B31" s="54">
        <v>44347</v>
      </c>
      <c r="C31" t="s">
        <v>29</v>
      </c>
      <c r="D31" t="s">
        <v>140</v>
      </c>
      <c r="E31">
        <v>4607598</v>
      </c>
      <c r="F31" s="54">
        <v>43983</v>
      </c>
      <c r="G31">
        <v>5660022</v>
      </c>
      <c r="J31" s="54">
        <v>44347</v>
      </c>
      <c r="K31" t="s">
        <v>29</v>
      </c>
      <c r="L31" t="s">
        <v>140</v>
      </c>
      <c r="M31">
        <v>4607598</v>
      </c>
      <c r="N31" s="54">
        <v>43983</v>
      </c>
      <c r="O31">
        <v>5660022</v>
      </c>
      <c r="Q31" s="10" t="str">
        <f t="shared" ref="Q31:Q64" si="1">IF(D31=L31, "", "XXXXX")</f>
        <v/>
      </c>
    </row>
    <row r="32" spans="1:31" x14ac:dyDescent="0.25">
      <c r="A32" s="73"/>
      <c r="B32" s="54">
        <v>44347</v>
      </c>
      <c r="C32" t="s">
        <v>29</v>
      </c>
      <c r="D32" t="s">
        <v>141</v>
      </c>
      <c r="E32">
        <v>894023</v>
      </c>
      <c r="F32" s="54">
        <v>43983</v>
      </c>
      <c r="G32">
        <v>951089</v>
      </c>
      <c r="J32" s="54">
        <v>44347</v>
      </c>
      <c r="K32" t="s">
        <v>29</v>
      </c>
      <c r="L32" t="s">
        <v>141</v>
      </c>
      <c r="M32">
        <v>894023</v>
      </c>
      <c r="N32" s="54">
        <v>43983</v>
      </c>
      <c r="O32">
        <v>951089</v>
      </c>
      <c r="Q32" s="10" t="str">
        <f t="shared" si="1"/>
        <v/>
      </c>
    </row>
    <row r="33" spans="1:17" x14ac:dyDescent="0.25">
      <c r="A33" s="73"/>
      <c r="B33" s="54">
        <v>44347</v>
      </c>
      <c r="C33" t="s">
        <v>29</v>
      </c>
      <c r="D33" t="s">
        <v>170</v>
      </c>
      <c r="E33">
        <v>0</v>
      </c>
      <c r="F33" s="54">
        <v>43983</v>
      </c>
      <c r="G33">
        <v>-59059</v>
      </c>
      <c r="J33" s="54">
        <v>44347</v>
      </c>
      <c r="K33" t="s">
        <v>29</v>
      </c>
      <c r="L33" t="s">
        <v>170</v>
      </c>
      <c r="M33">
        <v>0</v>
      </c>
      <c r="N33" s="54">
        <v>43983</v>
      </c>
      <c r="O33">
        <v>-59059</v>
      </c>
      <c r="Q33" s="10" t="str">
        <f t="shared" si="1"/>
        <v/>
      </c>
    </row>
    <row r="34" spans="1:17" x14ac:dyDescent="0.25">
      <c r="A34" s="73"/>
      <c r="B34" s="54">
        <v>44347</v>
      </c>
      <c r="C34" t="s">
        <v>29</v>
      </c>
      <c r="D34" t="s">
        <v>142</v>
      </c>
      <c r="E34">
        <v>-299980</v>
      </c>
      <c r="F34" s="54">
        <v>43983</v>
      </c>
      <c r="G34">
        <v>-423651</v>
      </c>
      <c r="J34" s="54">
        <v>44347</v>
      </c>
      <c r="K34" t="s">
        <v>29</v>
      </c>
      <c r="L34" t="s">
        <v>142</v>
      </c>
      <c r="M34">
        <v>-299980</v>
      </c>
      <c r="N34" s="54">
        <v>43983</v>
      </c>
      <c r="O34">
        <v>-423651</v>
      </c>
      <c r="Q34" s="10" t="str">
        <f t="shared" si="1"/>
        <v/>
      </c>
    </row>
    <row r="35" spans="1:17" x14ac:dyDescent="0.25">
      <c r="A35" s="73"/>
      <c r="B35" s="54">
        <v>44347</v>
      </c>
      <c r="C35" t="s">
        <v>29</v>
      </c>
      <c r="D35" t="s">
        <v>143</v>
      </c>
      <c r="E35">
        <v>-514105</v>
      </c>
      <c r="F35" s="54">
        <v>43983</v>
      </c>
      <c r="G35">
        <v>-486267</v>
      </c>
      <c r="J35" s="54">
        <v>44347</v>
      </c>
      <c r="K35" t="s">
        <v>29</v>
      </c>
      <c r="L35" t="s">
        <v>143</v>
      </c>
      <c r="M35">
        <v>-514105</v>
      </c>
      <c r="N35" s="54">
        <v>43983</v>
      </c>
      <c r="O35">
        <v>-486267</v>
      </c>
      <c r="Q35" s="10" t="str">
        <f t="shared" si="1"/>
        <v/>
      </c>
    </row>
    <row r="36" spans="1:17" x14ac:dyDescent="0.25">
      <c r="A36" s="73"/>
      <c r="B36" s="54">
        <v>44347</v>
      </c>
      <c r="C36" t="s">
        <v>29</v>
      </c>
      <c r="D36" t="s">
        <v>144</v>
      </c>
      <c r="E36">
        <v>2020620</v>
      </c>
      <c r="F36" s="54">
        <v>43983</v>
      </c>
      <c r="G36">
        <v>2415405</v>
      </c>
      <c r="J36" s="54">
        <v>44347</v>
      </c>
      <c r="K36" t="s">
        <v>29</v>
      </c>
      <c r="L36" t="s">
        <v>144</v>
      </c>
      <c r="M36">
        <v>2020620</v>
      </c>
      <c r="N36" s="54">
        <v>43983</v>
      </c>
      <c r="O36">
        <v>2415405</v>
      </c>
      <c r="Q36" s="10" t="str">
        <f t="shared" si="1"/>
        <v/>
      </c>
    </row>
    <row r="37" spans="1:17" x14ac:dyDescent="0.25">
      <c r="A37" s="73"/>
      <c r="B37" s="54">
        <v>44347</v>
      </c>
      <c r="C37" t="s">
        <v>29</v>
      </c>
      <c r="D37" t="s">
        <v>145</v>
      </c>
      <c r="E37">
        <v>1000</v>
      </c>
      <c r="F37" s="54">
        <v>43983</v>
      </c>
      <c r="G37">
        <v>-10254</v>
      </c>
      <c r="J37" s="54">
        <v>44347</v>
      </c>
      <c r="K37" t="s">
        <v>29</v>
      </c>
      <c r="L37" t="s">
        <v>145</v>
      </c>
      <c r="M37">
        <v>1000</v>
      </c>
      <c r="N37" s="54">
        <v>43983</v>
      </c>
      <c r="O37">
        <v>-10254</v>
      </c>
      <c r="Q37" s="10" t="str">
        <f t="shared" si="1"/>
        <v/>
      </c>
    </row>
    <row r="38" spans="1:17" x14ac:dyDescent="0.25">
      <c r="A38" s="73"/>
      <c r="B38" s="54">
        <v>44347</v>
      </c>
      <c r="C38" t="s">
        <v>29</v>
      </c>
      <c r="D38" t="s">
        <v>146</v>
      </c>
      <c r="E38">
        <v>994713.5</v>
      </c>
      <c r="F38" s="54">
        <v>43983</v>
      </c>
      <c r="G38">
        <v>1156790.7</v>
      </c>
      <c r="J38" s="54">
        <v>44347</v>
      </c>
      <c r="K38" t="s">
        <v>29</v>
      </c>
      <c r="L38" t="s">
        <v>146</v>
      </c>
      <c r="M38">
        <v>994713.5</v>
      </c>
      <c r="N38" s="54">
        <v>43983</v>
      </c>
      <c r="O38">
        <v>1156790.7</v>
      </c>
      <c r="Q38" s="10" t="str">
        <f t="shared" si="1"/>
        <v/>
      </c>
    </row>
    <row r="39" spans="1:17" x14ac:dyDescent="0.25">
      <c r="A39" s="73"/>
      <c r="B39" s="54">
        <v>44347</v>
      </c>
      <c r="C39" t="s">
        <v>29</v>
      </c>
      <c r="D39" t="s">
        <v>147</v>
      </c>
      <c r="E39">
        <v>1717882</v>
      </c>
      <c r="F39" s="54">
        <v>43983</v>
      </c>
      <c r="G39">
        <v>2036278</v>
      </c>
      <c r="J39" s="54">
        <v>44347</v>
      </c>
      <c r="K39" t="s">
        <v>29</v>
      </c>
      <c r="L39" t="s">
        <v>147</v>
      </c>
      <c r="M39">
        <v>1717882</v>
      </c>
      <c r="N39" s="54">
        <v>43983</v>
      </c>
      <c r="O39">
        <v>2036278</v>
      </c>
      <c r="Q39" s="10" t="str">
        <f t="shared" si="1"/>
        <v/>
      </c>
    </row>
    <row r="40" spans="1:17" x14ac:dyDescent="0.25">
      <c r="A40" s="73"/>
      <c r="B40" s="54">
        <v>44347</v>
      </c>
      <c r="C40" t="s">
        <v>29</v>
      </c>
      <c r="D40" t="s">
        <v>148</v>
      </c>
      <c r="E40">
        <v>305412</v>
      </c>
      <c r="F40" s="54">
        <v>43983</v>
      </c>
      <c r="G40">
        <v>355194</v>
      </c>
      <c r="J40" s="54">
        <v>44347</v>
      </c>
      <c r="K40" t="s">
        <v>29</v>
      </c>
      <c r="L40" t="s">
        <v>148</v>
      </c>
      <c r="M40">
        <v>305412</v>
      </c>
      <c r="N40" s="54">
        <v>43983</v>
      </c>
      <c r="O40">
        <v>355194</v>
      </c>
      <c r="Q40" s="10" t="str">
        <f t="shared" si="1"/>
        <v/>
      </c>
    </row>
    <row r="41" spans="1:17" x14ac:dyDescent="0.25">
      <c r="A41" s="73"/>
      <c r="B41" s="54">
        <v>44347</v>
      </c>
      <c r="C41" t="s">
        <v>29</v>
      </c>
      <c r="D41" t="s">
        <v>149</v>
      </c>
      <c r="E41">
        <v>552922</v>
      </c>
      <c r="F41" s="54">
        <v>43983</v>
      </c>
      <c r="G41">
        <v>650124</v>
      </c>
      <c r="J41" s="54">
        <v>44347</v>
      </c>
      <c r="K41" t="s">
        <v>29</v>
      </c>
      <c r="L41" t="s">
        <v>149</v>
      </c>
      <c r="M41">
        <v>552922</v>
      </c>
      <c r="N41" s="54">
        <v>43983</v>
      </c>
      <c r="O41">
        <v>650124</v>
      </c>
      <c r="Q41" s="10" t="str">
        <f t="shared" si="1"/>
        <v/>
      </c>
    </row>
    <row r="42" spans="1:17" x14ac:dyDescent="0.25">
      <c r="A42" s="73"/>
      <c r="B42" s="54">
        <v>44347</v>
      </c>
      <c r="C42" t="s">
        <v>38</v>
      </c>
      <c r="D42" t="s">
        <v>139</v>
      </c>
      <c r="E42">
        <v>3927105</v>
      </c>
      <c r="F42" s="54">
        <v>43983</v>
      </c>
      <c r="G42">
        <v>4003857</v>
      </c>
      <c r="J42" s="54">
        <v>44347</v>
      </c>
      <c r="K42" t="s">
        <v>38</v>
      </c>
      <c r="L42" t="s">
        <v>139</v>
      </c>
      <c r="M42">
        <v>3927105</v>
      </c>
      <c r="N42" s="54">
        <v>43983</v>
      </c>
      <c r="O42">
        <v>4003857</v>
      </c>
      <c r="Q42" s="10" t="str">
        <f t="shared" si="1"/>
        <v/>
      </c>
    </row>
    <row r="43" spans="1:17" x14ac:dyDescent="0.25">
      <c r="A43" s="73"/>
      <c r="B43" s="54">
        <v>44347</v>
      </c>
      <c r="C43" t="s">
        <v>38</v>
      </c>
      <c r="D43" t="s">
        <v>140</v>
      </c>
      <c r="E43">
        <v>2501437</v>
      </c>
      <c r="F43" s="54">
        <v>43983</v>
      </c>
      <c r="G43">
        <v>2756550</v>
      </c>
      <c r="J43" s="54">
        <v>44347</v>
      </c>
      <c r="K43" t="s">
        <v>38</v>
      </c>
      <c r="L43" t="s">
        <v>140</v>
      </c>
      <c r="M43">
        <v>2501437</v>
      </c>
      <c r="N43" s="54">
        <v>43983</v>
      </c>
      <c r="O43">
        <v>2756550</v>
      </c>
      <c r="Q43" s="10" t="str">
        <f t="shared" si="1"/>
        <v/>
      </c>
    </row>
    <row r="44" spans="1:17" x14ac:dyDescent="0.25">
      <c r="A44" s="73"/>
      <c r="B44" s="54">
        <v>44347</v>
      </c>
      <c r="C44" t="s">
        <v>38</v>
      </c>
      <c r="D44" t="s">
        <v>141</v>
      </c>
      <c r="E44">
        <v>1244012</v>
      </c>
      <c r="F44" s="54">
        <v>43983</v>
      </c>
      <c r="G44">
        <v>1292247</v>
      </c>
      <c r="J44" s="54">
        <v>44347</v>
      </c>
      <c r="K44" t="s">
        <v>38</v>
      </c>
      <c r="L44" t="s">
        <v>141</v>
      </c>
      <c r="M44">
        <v>1244012</v>
      </c>
      <c r="N44" s="54">
        <v>43983</v>
      </c>
      <c r="O44">
        <v>1292247</v>
      </c>
      <c r="Q44" s="10" t="str">
        <f t="shared" si="1"/>
        <v/>
      </c>
    </row>
    <row r="45" spans="1:17" x14ac:dyDescent="0.25">
      <c r="A45" s="73"/>
      <c r="B45" s="54">
        <v>44347</v>
      </c>
      <c r="C45" t="s">
        <v>38</v>
      </c>
      <c r="D45" t="s">
        <v>170</v>
      </c>
      <c r="E45">
        <v>0</v>
      </c>
      <c r="F45" s="54">
        <v>43983</v>
      </c>
      <c r="G45">
        <v>-58587</v>
      </c>
      <c r="J45" s="54">
        <v>44347</v>
      </c>
      <c r="K45" t="s">
        <v>38</v>
      </c>
      <c r="L45" t="s">
        <v>170</v>
      </c>
      <c r="M45">
        <v>0</v>
      </c>
      <c r="N45" s="54">
        <v>43983</v>
      </c>
      <c r="O45">
        <v>-58587</v>
      </c>
      <c r="Q45" s="10" t="str">
        <f t="shared" si="1"/>
        <v/>
      </c>
    </row>
    <row r="46" spans="1:17" x14ac:dyDescent="0.25">
      <c r="A46" s="73"/>
      <c r="B46" s="54">
        <v>44347</v>
      </c>
      <c r="C46" t="s">
        <v>38</v>
      </c>
      <c r="D46" t="s">
        <v>142</v>
      </c>
      <c r="E46">
        <v>-83768</v>
      </c>
      <c r="F46" s="54">
        <v>43983</v>
      </c>
      <c r="G46">
        <v>-103295</v>
      </c>
      <c r="J46" s="54">
        <v>44347</v>
      </c>
      <c r="K46" t="s">
        <v>38</v>
      </c>
      <c r="L46" t="s">
        <v>142</v>
      </c>
      <c r="M46">
        <v>-83768</v>
      </c>
      <c r="N46" s="54">
        <v>43983</v>
      </c>
      <c r="O46">
        <v>-103295</v>
      </c>
      <c r="Q46" s="10" t="str">
        <f t="shared" si="1"/>
        <v/>
      </c>
    </row>
    <row r="47" spans="1:17" x14ac:dyDescent="0.25">
      <c r="A47" s="73"/>
      <c r="B47" s="54">
        <v>44347</v>
      </c>
      <c r="C47" t="s">
        <v>38</v>
      </c>
      <c r="D47" t="s">
        <v>143</v>
      </c>
      <c r="E47">
        <v>-355608</v>
      </c>
      <c r="F47" s="54">
        <v>43983</v>
      </c>
      <c r="G47">
        <v>-396018</v>
      </c>
      <c r="J47" s="54">
        <v>44347</v>
      </c>
      <c r="K47" t="s">
        <v>38</v>
      </c>
      <c r="L47" t="s">
        <v>143</v>
      </c>
      <c r="M47">
        <v>-355608</v>
      </c>
      <c r="N47" s="54">
        <v>43983</v>
      </c>
      <c r="O47">
        <v>-396018</v>
      </c>
      <c r="Q47" s="10" t="str">
        <f t="shared" si="1"/>
        <v/>
      </c>
    </row>
    <row r="48" spans="1:17" x14ac:dyDescent="0.25">
      <c r="A48" s="73"/>
      <c r="B48" s="54">
        <v>44347</v>
      </c>
      <c r="C48" t="s">
        <v>38</v>
      </c>
      <c r="D48" t="s">
        <v>144</v>
      </c>
      <c r="E48">
        <v>1611968</v>
      </c>
      <c r="F48" s="54">
        <v>43983</v>
      </c>
      <c r="G48">
        <v>1667153</v>
      </c>
      <c r="J48" s="54">
        <v>44347</v>
      </c>
      <c r="K48" t="s">
        <v>38</v>
      </c>
      <c r="L48" t="s">
        <v>144</v>
      </c>
      <c r="M48">
        <v>1611968</v>
      </c>
      <c r="N48" s="54">
        <v>43983</v>
      </c>
      <c r="O48">
        <v>1667153</v>
      </c>
      <c r="Q48" s="10" t="str">
        <f t="shared" si="1"/>
        <v/>
      </c>
    </row>
    <row r="49" spans="1:17" x14ac:dyDescent="0.25">
      <c r="A49" s="73"/>
      <c r="B49" s="54">
        <v>44347</v>
      </c>
      <c r="C49" t="s">
        <v>38</v>
      </c>
      <c r="D49" t="s">
        <v>145</v>
      </c>
      <c r="E49">
        <v>-19083</v>
      </c>
      <c r="F49" s="54">
        <v>43983</v>
      </c>
      <c r="G49">
        <v>-23718</v>
      </c>
      <c r="J49" s="54">
        <v>44347</v>
      </c>
      <c r="K49" t="s">
        <v>38</v>
      </c>
      <c r="L49" t="s">
        <v>145</v>
      </c>
      <c r="M49">
        <v>-19083</v>
      </c>
      <c r="N49" s="54">
        <v>43983</v>
      </c>
      <c r="O49">
        <v>-23718</v>
      </c>
      <c r="Q49" s="10" t="str">
        <f t="shared" si="1"/>
        <v/>
      </c>
    </row>
    <row r="50" spans="1:17" x14ac:dyDescent="0.25">
      <c r="A50" s="73"/>
      <c r="B50" s="54">
        <v>44347</v>
      </c>
      <c r="C50" t="s">
        <v>38</v>
      </c>
      <c r="D50" t="s">
        <v>146</v>
      </c>
      <c r="E50">
        <v>650677</v>
      </c>
      <c r="F50" s="54">
        <v>43983</v>
      </c>
      <c r="G50">
        <v>1198192.5</v>
      </c>
      <c r="J50" s="54">
        <v>44347</v>
      </c>
      <c r="K50" t="s">
        <v>38</v>
      </c>
      <c r="L50" t="s">
        <v>146</v>
      </c>
      <c r="M50">
        <v>650677</v>
      </c>
      <c r="N50" s="54">
        <v>43983</v>
      </c>
      <c r="O50">
        <v>1198192.5</v>
      </c>
      <c r="Q50" s="10" t="str">
        <f t="shared" si="1"/>
        <v/>
      </c>
    </row>
    <row r="51" spans="1:17" x14ac:dyDescent="0.25">
      <c r="A51" s="73"/>
      <c r="B51" s="54">
        <v>44347</v>
      </c>
      <c r="C51" t="s">
        <v>38</v>
      </c>
      <c r="D51" t="s">
        <v>147</v>
      </c>
      <c r="E51">
        <v>1552833.5</v>
      </c>
      <c r="F51" s="54">
        <v>43983</v>
      </c>
      <c r="G51">
        <v>834028</v>
      </c>
      <c r="J51" s="54">
        <v>44347</v>
      </c>
      <c r="K51" t="s">
        <v>38</v>
      </c>
      <c r="L51" t="s">
        <v>147</v>
      </c>
      <c r="M51">
        <v>1552833.5</v>
      </c>
      <c r="N51" s="54">
        <v>43983</v>
      </c>
      <c r="O51">
        <v>834028</v>
      </c>
      <c r="Q51" s="10" t="str">
        <f t="shared" si="1"/>
        <v/>
      </c>
    </row>
    <row r="52" spans="1:17" x14ac:dyDescent="0.25">
      <c r="A52" s="73"/>
      <c r="B52" s="54">
        <v>44347</v>
      </c>
      <c r="C52" t="s">
        <v>38</v>
      </c>
      <c r="D52" t="s">
        <v>148</v>
      </c>
      <c r="E52">
        <v>69318</v>
      </c>
      <c r="F52" s="54">
        <v>43983</v>
      </c>
      <c r="G52">
        <v>87774</v>
      </c>
      <c r="J52" s="54">
        <v>44347</v>
      </c>
      <c r="K52" t="s">
        <v>38</v>
      </c>
      <c r="L52" t="s">
        <v>148</v>
      </c>
      <c r="M52">
        <v>69318</v>
      </c>
      <c r="N52" s="54">
        <v>43983</v>
      </c>
      <c r="O52">
        <v>87774</v>
      </c>
      <c r="Q52" s="10" t="str">
        <f t="shared" si="1"/>
        <v/>
      </c>
    </row>
    <row r="53" spans="1:17" x14ac:dyDescent="0.25">
      <c r="A53" s="73"/>
      <c r="B53" s="54">
        <v>44347</v>
      </c>
      <c r="C53" t="s">
        <v>38</v>
      </c>
      <c r="D53" t="s">
        <v>149</v>
      </c>
      <c r="E53">
        <v>355423.5</v>
      </c>
      <c r="F53" s="54">
        <v>43983</v>
      </c>
      <c r="G53">
        <v>360699.5</v>
      </c>
      <c r="J53" s="54">
        <v>44347</v>
      </c>
      <c r="K53" t="s">
        <v>38</v>
      </c>
      <c r="L53" t="s">
        <v>149</v>
      </c>
      <c r="M53">
        <v>355423.5</v>
      </c>
      <c r="N53" s="54">
        <v>43983</v>
      </c>
      <c r="O53">
        <v>360699.5</v>
      </c>
      <c r="Q53" s="10" t="str">
        <f t="shared" si="1"/>
        <v/>
      </c>
    </row>
    <row r="54" spans="1:17" x14ac:dyDescent="0.25">
      <c r="A54" s="73"/>
      <c r="B54" s="54">
        <v>44347</v>
      </c>
      <c r="C54" t="s">
        <v>39</v>
      </c>
      <c r="D54" t="s">
        <v>139</v>
      </c>
      <c r="E54">
        <v>871686</v>
      </c>
      <c r="F54" s="54">
        <v>43983</v>
      </c>
      <c r="G54">
        <v>939624</v>
      </c>
      <c r="J54" s="54">
        <v>44347</v>
      </c>
      <c r="K54" t="s">
        <v>39</v>
      </c>
      <c r="L54" t="s">
        <v>139</v>
      </c>
      <c r="M54">
        <v>871686</v>
      </c>
      <c r="N54" s="54">
        <v>43983</v>
      </c>
      <c r="O54">
        <v>939624</v>
      </c>
      <c r="Q54" s="10" t="str">
        <f t="shared" si="1"/>
        <v/>
      </c>
    </row>
    <row r="55" spans="1:17" x14ac:dyDescent="0.25">
      <c r="A55" s="73"/>
      <c r="B55" s="54">
        <v>44347</v>
      </c>
      <c r="C55" t="s">
        <v>39</v>
      </c>
      <c r="D55" t="s">
        <v>140</v>
      </c>
      <c r="E55">
        <v>675135</v>
      </c>
      <c r="F55" s="54">
        <v>43983</v>
      </c>
      <c r="G55">
        <v>688926</v>
      </c>
      <c r="J55" s="54">
        <v>44347</v>
      </c>
      <c r="K55" t="s">
        <v>39</v>
      </c>
      <c r="L55" t="s">
        <v>140</v>
      </c>
      <c r="M55">
        <v>675135</v>
      </c>
      <c r="N55" s="54">
        <v>43983</v>
      </c>
      <c r="O55">
        <v>688926</v>
      </c>
      <c r="Q55" s="10" t="str">
        <f t="shared" si="1"/>
        <v/>
      </c>
    </row>
    <row r="56" spans="1:17" x14ac:dyDescent="0.25">
      <c r="A56" s="73"/>
      <c r="B56" s="54">
        <v>44347</v>
      </c>
      <c r="C56" t="s">
        <v>39</v>
      </c>
      <c r="D56" t="s">
        <v>141</v>
      </c>
      <c r="E56">
        <v>224694</v>
      </c>
      <c r="F56" s="54">
        <v>43983</v>
      </c>
      <c r="G56">
        <v>226233</v>
      </c>
      <c r="J56" s="54">
        <v>44347</v>
      </c>
      <c r="K56" t="s">
        <v>39</v>
      </c>
      <c r="L56" t="s">
        <v>141</v>
      </c>
      <c r="M56">
        <v>224694</v>
      </c>
      <c r="N56" s="54">
        <v>43983</v>
      </c>
      <c r="O56">
        <v>226233</v>
      </c>
      <c r="Q56" s="10" t="str">
        <f t="shared" si="1"/>
        <v/>
      </c>
    </row>
    <row r="57" spans="1:17" x14ac:dyDescent="0.25">
      <c r="A57" s="73"/>
      <c r="B57" s="54">
        <v>44347</v>
      </c>
      <c r="C57" t="s">
        <v>39</v>
      </c>
      <c r="D57" t="s">
        <v>170</v>
      </c>
      <c r="E57">
        <v>0</v>
      </c>
      <c r="F57" s="54">
        <v>43983</v>
      </c>
      <c r="G57">
        <v>-22794</v>
      </c>
      <c r="J57" s="54">
        <v>44347</v>
      </c>
      <c r="K57" t="s">
        <v>39</v>
      </c>
      <c r="L57" t="s">
        <v>170</v>
      </c>
      <c r="M57">
        <v>0</v>
      </c>
      <c r="N57" s="54">
        <v>43983</v>
      </c>
      <c r="O57">
        <v>-22794</v>
      </c>
      <c r="Q57" s="10" t="str">
        <f t="shared" si="1"/>
        <v/>
      </c>
    </row>
    <row r="58" spans="1:17" x14ac:dyDescent="0.25">
      <c r="A58" s="73"/>
      <c r="B58" s="54">
        <v>44347</v>
      </c>
      <c r="C58" t="s">
        <v>39</v>
      </c>
      <c r="D58" t="s">
        <v>142</v>
      </c>
      <c r="E58">
        <v>-14716</v>
      </c>
      <c r="F58" s="54">
        <v>43983</v>
      </c>
      <c r="G58">
        <v>-73014</v>
      </c>
      <c r="J58" s="54">
        <v>44347</v>
      </c>
      <c r="K58" t="s">
        <v>39</v>
      </c>
      <c r="L58" t="s">
        <v>142</v>
      </c>
      <c r="M58">
        <v>-14716</v>
      </c>
      <c r="N58" s="54">
        <v>43983</v>
      </c>
      <c r="O58">
        <v>-73014</v>
      </c>
      <c r="Q58" s="10" t="str">
        <f t="shared" si="1"/>
        <v/>
      </c>
    </row>
    <row r="59" spans="1:17" x14ac:dyDescent="0.25">
      <c r="A59" s="73"/>
      <c r="B59" s="54">
        <v>44347</v>
      </c>
      <c r="C59" t="s">
        <v>39</v>
      </c>
      <c r="D59" t="s">
        <v>143</v>
      </c>
      <c r="E59">
        <v>-180947</v>
      </c>
      <c r="F59" s="54">
        <v>43983</v>
      </c>
      <c r="G59">
        <v>-155803</v>
      </c>
      <c r="J59" s="54">
        <v>44347</v>
      </c>
      <c r="K59" t="s">
        <v>39</v>
      </c>
      <c r="L59" t="s">
        <v>143</v>
      </c>
      <c r="M59">
        <v>-180947</v>
      </c>
      <c r="N59" s="54">
        <v>43983</v>
      </c>
      <c r="O59">
        <v>-155803</v>
      </c>
      <c r="Q59" s="10" t="str">
        <f t="shared" si="1"/>
        <v/>
      </c>
    </row>
    <row r="60" spans="1:17" x14ac:dyDescent="0.25">
      <c r="A60" s="73"/>
      <c r="B60" s="54">
        <v>44347</v>
      </c>
      <c r="C60" t="s">
        <v>39</v>
      </c>
      <c r="D60" t="s">
        <v>144</v>
      </c>
      <c r="E60">
        <v>495250</v>
      </c>
      <c r="F60" s="54">
        <v>43983</v>
      </c>
      <c r="G60">
        <v>570528</v>
      </c>
      <c r="J60" s="54">
        <v>44347</v>
      </c>
      <c r="K60" t="s">
        <v>39</v>
      </c>
      <c r="L60" t="s">
        <v>144</v>
      </c>
      <c r="M60">
        <v>495250</v>
      </c>
      <c r="N60" s="54">
        <v>43983</v>
      </c>
      <c r="O60">
        <v>570528</v>
      </c>
      <c r="Q60" s="10" t="str">
        <f t="shared" si="1"/>
        <v/>
      </c>
    </row>
    <row r="61" spans="1:17" x14ac:dyDescent="0.25">
      <c r="A61" s="73"/>
      <c r="B61" s="54">
        <v>44347</v>
      </c>
      <c r="C61" t="s">
        <v>39</v>
      </c>
      <c r="D61" t="s">
        <v>145</v>
      </c>
      <c r="E61">
        <v>-72825</v>
      </c>
      <c r="F61" s="54">
        <v>43983</v>
      </c>
      <c r="G61">
        <v>-71316</v>
      </c>
      <c r="J61" s="54">
        <v>44347</v>
      </c>
      <c r="K61" t="s">
        <v>39</v>
      </c>
      <c r="L61" t="s">
        <v>145</v>
      </c>
      <c r="M61">
        <v>-72825</v>
      </c>
      <c r="N61" s="54">
        <v>43983</v>
      </c>
      <c r="O61">
        <v>-71316</v>
      </c>
      <c r="Q61" s="10" t="str">
        <f t="shared" si="1"/>
        <v/>
      </c>
    </row>
    <row r="62" spans="1:17" x14ac:dyDescent="0.25">
      <c r="A62" s="59"/>
      <c r="B62" s="54">
        <v>44347</v>
      </c>
      <c r="C62" t="s">
        <v>39</v>
      </c>
      <c r="D62" t="s">
        <v>146</v>
      </c>
      <c r="E62">
        <v>70245</v>
      </c>
      <c r="F62" s="54">
        <v>43983</v>
      </c>
      <c r="G62">
        <v>68561</v>
      </c>
      <c r="J62" s="54">
        <v>44347</v>
      </c>
      <c r="K62" t="s">
        <v>39</v>
      </c>
      <c r="L62" t="s">
        <v>146</v>
      </c>
      <c r="M62">
        <v>70245</v>
      </c>
      <c r="N62" s="54">
        <v>43983</v>
      </c>
      <c r="O62">
        <v>68561</v>
      </c>
      <c r="Q62" s="10" t="str">
        <f t="shared" si="1"/>
        <v/>
      </c>
    </row>
    <row r="63" spans="1:17" x14ac:dyDescent="0.25">
      <c r="A63" s="59"/>
      <c r="B63" s="54">
        <v>44347</v>
      </c>
      <c r="C63" t="s">
        <v>39</v>
      </c>
      <c r="D63" t="s">
        <v>147</v>
      </c>
      <c r="E63">
        <v>269434</v>
      </c>
      <c r="F63" s="54">
        <v>43983</v>
      </c>
      <c r="G63">
        <v>280267</v>
      </c>
      <c r="J63" s="54">
        <v>44347</v>
      </c>
      <c r="K63" t="s">
        <v>39</v>
      </c>
      <c r="L63" t="s">
        <v>147</v>
      </c>
      <c r="M63">
        <v>269434</v>
      </c>
      <c r="N63" s="54">
        <v>43983</v>
      </c>
      <c r="O63">
        <v>280267</v>
      </c>
      <c r="Q63" s="10" t="str">
        <f t="shared" si="1"/>
        <v/>
      </c>
    </row>
    <row r="64" spans="1:17" x14ac:dyDescent="0.25">
      <c r="A64" s="59"/>
      <c r="B64" s="54">
        <v>44347</v>
      </c>
      <c r="C64" t="s">
        <v>39</v>
      </c>
      <c r="D64" t="s">
        <v>149</v>
      </c>
      <c r="E64">
        <v>76375</v>
      </c>
      <c r="F64" s="54">
        <v>43983</v>
      </c>
      <c r="G64">
        <v>81451</v>
      </c>
      <c r="J64" s="54">
        <v>44347</v>
      </c>
      <c r="K64" t="s">
        <v>39</v>
      </c>
      <c r="L64" t="s">
        <v>149</v>
      </c>
      <c r="M64">
        <v>76375</v>
      </c>
      <c r="N64" s="54">
        <v>43983</v>
      </c>
      <c r="O64">
        <v>81451</v>
      </c>
      <c r="Q64" s="10" t="str">
        <f t="shared" si="1"/>
        <v/>
      </c>
    </row>
    <row r="65" spans="2:17" x14ac:dyDescent="0.25">
      <c r="B65" s="49"/>
      <c r="F65" s="49"/>
      <c r="Q65" s="10" t="str">
        <f t="shared" ref="Q65:Q97" si="2">IF(D65=L65, "", "XXXXX")</f>
        <v/>
      </c>
    </row>
    <row r="66" spans="2:17" x14ac:dyDescent="0.25">
      <c r="B66" s="49"/>
      <c r="E66" s="48"/>
      <c r="F66" s="49"/>
      <c r="G66" s="48"/>
      <c r="J66" s="49"/>
      <c r="K66" s="48"/>
      <c r="L66" s="48"/>
      <c r="M66" s="48"/>
      <c r="N66" s="49"/>
      <c r="O66" s="48"/>
      <c r="Q66" s="10" t="str">
        <f t="shared" si="2"/>
        <v/>
      </c>
    </row>
    <row r="67" spans="2:17" x14ac:dyDescent="0.25">
      <c r="F67" s="47"/>
      <c r="J67" s="50"/>
      <c r="K67" s="51"/>
      <c r="L67" s="51"/>
      <c r="M67" s="51"/>
      <c r="N67" s="50"/>
      <c r="O67" s="51"/>
      <c r="Q67" s="10" t="str">
        <f t="shared" si="2"/>
        <v/>
      </c>
    </row>
    <row r="68" spans="2:17" x14ac:dyDescent="0.25">
      <c r="B68" t="s">
        <v>42</v>
      </c>
      <c r="C68" t="s">
        <v>17</v>
      </c>
      <c r="D68" t="s">
        <v>163</v>
      </c>
      <c r="E68" t="s">
        <v>24</v>
      </c>
      <c r="F68" t="s">
        <v>164</v>
      </c>
      <c r="J68" t="s">
        <v>42</v>
      </c>
      <c r="K68" t="s">
        <v>17</v>
      </c>
      <c r="L68" t="s">
        <v>163</v>
      </c>
      <c r="M68" t="s">
        <v>24</v>
      </c>
      <c r="N68" t="s">
        <v>164</v>
      </c>
      <c r="Q68" s="10" t="str">
        <f t="shared" si="2"/>
        <v/>
      </c>
    </row>
    <row r="69" spans="2:17" x14ac:dyDescent="0.25">
      <c r="B69" s="54">
        <v>44347</v>
      </c>
      <c r="C69" t="s">
        <v>39</v>
      </c>
      <c r="D69">
        <v>39348</v>
      </c>
      <c r="E69" s="54">
        <v>43983</v>
      </c>
      <c r="F69">
        <v>41424</v>
      </c>
      <c r="J69" s="54">
        <v>44347</v>
      </c>
      <c r="K69" t="s">
        <v>39</v>
      </c>
      <c r="L69">
        <v>39348</v>
      </c>
      <c r="M69" s="54">
        <v>43983</v>
      </c>
      <c r="N69">
        <v>41424</v>
      </c>
      <c r="Q69" s="10" t="str">
        <f t="shared" si="2"/>
        <v/>
      </c>
    </row>
    <row r="70" spans="2:17" x14ac:dyDescent="0.25">
      <c r="J70" s="47"/>
      <c r="N70" s="47"/>
      <c r="Q70" s="10" t="str">
        <f t="shared" si="2"/>
        <v/>
      </c>
    </row>
    <row r="71" spans="2:17" x14ac:dyDescent="0.25">
      <c r="B71" s="47"/>
      <c r="J71" s="47"/>
      <c r="N71" s="47"/>
      <c r="Q71" s="10" t="str">
        <f t="shared" si="2"/>
        <v/>
      </c>
    </row>
    <row r="72" spans="2:17" x14ac:dyDescent="0.25">
      <c r="J72" s="47"/>
      <c r="N72" s="47"/>
      <c r="Q72" s="10" t="str">
        <f t="shared" si="2"/>
        <v/>
      </c>
    </row>
    <row r="73" spans="2:17" x14ac:dyDescent="0.25">
      <c r="B73" s="47"/>
      <c r="J73" s="47"/>
      <c r="N73" s="47"/>
      <c r="Q73" s="10" t="str">
        <f t="shared" si="2"/>
        <v/>
      </c>
    </row>
    <row r="74" spans="2:17" x14ac:dyDescent="0.25">
      <c r="J74" s="47"/>
      <c r="N74" s="47"/>
      <c r="Q74" s="10" t="str">
        <f t="shared" si="2"/>
        <v/>
      </c>
    </row>
    <row r="75" spans="2:17" x14ac:dyDescent="0.25">
      <c r="B75" s="47"/>
      <c r="J75" s="47"/>
      <c r="N75" s="47"/>
      <c r="Q75" s="10" t="str">
        <f t="shared" si="2"/>
        <v/>
      </c>
    </row>
    <row r="76" spans="2:17" x14ac:dyDescent="0.25">
      <c r="B76" s="47"/>
      <c r="F76" s="47"/>
      <c r="J76" s="47"/>
      <c r="N76" s="47"/>
      <c r="Q76" s="10" t="str">
        <f t="shared" si="2"/>
        <v/>
      </c>
    </row>
    <row r="77" spans="2:17" x14ac:dyDescent="0.25">
      <c r="B77" s="47"/>
      <c r="F77" s="47"/>
      <c r="J77" s="47"/>
      <c r="N77" s="47"/>
      <c r="Q77" s="10" t="str">
        <f t="shared" si="2"/>
        <v/>
      </c>
    </row>
    <row r="78" spans="2:17" x14ac:dyDescent="0.25">
      <c r="B78" s="47"/>
      <c r="F78" s="47"/>
      <c r="J78" s="47"/>
      <c r="N78" s="47"/>
      <c r="Q78" s="10" t="str">
        <f t="shared" si="2"/>
        <v/>
      </c>
    </row>
    <row r="79" spans="2:17" x14ac:dyDescent="0.25">
      <c r="B79" s="47"/>
      <c r="F79" s="47"/>
      <c r="J79" s="47"/>
      <c r="N79" s="47"/>
      <c r="Q79" s="10" t="str">
        <f t="shared" si="2"/>
        <v/>
      </c>
    </row>
    <row r="80" spans="2:17" x14ac:dyDescent="0.25">
      <c r="B80" s="47"/>
      <c r="F80" s="47"/>
      <c r="J80" s="47"/>
      <c r="N80" s="47"/>
      <c r="Q80" s="10" t="str">
        <f t="shared" si="2"/>
        <v/>
      </c>
    </row>
    <row r="81" spans="2:17" x14ac:dyDescent="0.25">
      <c r="B81" s="47"/>
      <c r="F81" s="47"/>
      <c r="J81" s="47"/>
      <c r="N81" s="47"/>
      <c r="Q81" s="10" t="str">
        <f t="shared" si="2"/>
        <v/>
      </c>
    </row>
    <row r="82" spans="2:17" x14ac:dyDescent="0.25">
      <c r="B82" s="47"/>
      <c r="F82" s="47"/>
      <c r="J82" s="47"/>
      <c r="N82" s="47"/>
      <c r="Q82" s="10" t="str">
        <f t="shared" si="2"/>
        <v/>
      </c>
    </row>
    <row r="83" spans="2:17" x14ac:dyDescent="0.25">
      <c r="B83" s="47"/>
      <c r="F83" s="47"/>
      <c r="J83" s="47"/>
      <c r="N83" s="47"/>
      <c r="Q83" s="10" t="str">
        <f t="shared" si="2"/>
        <v/>
      </c>
    </row>
    <row r="84" spans="2:17" x14ac:dyDescent="0.25">
      <c r="B84" s="47"/>
      <c r="F84" s="47"/>
      <c r="J84" s="47"/>
      <c r="N84" s="47"/>
      <c r="Q84" s="10" t="str">
        <f t="shared" si="2"/>
        <v/>
      </c>
    </row>
    <row r="85" spans="2:17" x14ac:dyDescent="0.25">
      <c r="B85" s="47"/>
      <c r="F85" s="47"/>
      <c r="J85" s="47"/>
      <c r="N85" s="47"/>
      <c r="Q85" s="10" t="str">
        <f t="shared" si="2"/>
        <v/>
      </c>
    </row>
    <row r="86" spans="2:17" x14ac:dyDescent="0.25">
      <c r="B86" s="47"/>
      <c r="F86" s="47"/>
      <c r="J86" s="47"/>
      <c r="N86" s="47"/>
      <c r="Q86" s="10" t="str">
        <f t="shared" si="2"/>
        <v/>
      </c>
    </row>
    <row r="87" spans="2:17" x14ac:dyDescent="0.25">
      <c r="B87" s="47"/>
      <c r="F87" s="47"/>
      <c r="J87" s="47"/>
      <c r="N87" s="47"/>
      <c r="Q87" s="10" t="str">
        <f t="shared" si="2"/>
        <v/>
      </c>
    </row>
    <row r="88" spans="2:17" x14ac:dyDescent="0.25">
      <c r="B88" s="47"/>
      <c r="F88" s="47"/>
      <c r="J88" s="47"/>
      <c r="N88" s="47"/>
      <c r="Q88" s="10" t="str">
        <f t="shared" si="2"/>
        <v/>
      </c>
    </row>
    <row r="89" spans="2:17" x14ac:dyDescent="0.25">
      <c r="B89" s="47"/>
      <c r="F89" s="47"/>
      <c r="J89" s="47"/>
      <c r="N89" s="47"/>
      <c r="Q89" s="10" t="str">
        <f t="shared" si="2"/>
        <v/>
      </c>
    </row>
    <row r="90" spans="2:17" x14ac:dyDescent="0.25">
      <c r="B90" s="47"/>
      <c r="F90" s="47"/>
      <c r="J90" s="47"/>
      <c r="N90" s="47"/>
      <c r="Q90" s="10" t="str">
        <f t="shared" si="2"/>
        <v/>
      </c>
    </row>
    <row r="91" spans="2:17" x14ac:dyDescent="0.25">
      <c r="B91" s="47"/>
      <c r="F91" s="47"/>
      <c r="J91" s="47"/>
      <c r="N91" s="47"/>
      <c r="Q91" s="10" t="str">
        <f t="shared" si="2"/>
        <v/>
      </c>
    </row>
    <row r="92" spans="2:17" x14ac:dyDescent="0.25">
      <c r="B92" s="47"/>
      <c r="F92" s="47"/>
      <c r="J92" s="47"/>
      <c r="N92" s="47"/>
      <c r="Q92" s="10" t="str">
        <f t="shared" si="2"/>
        <v/>
      </c>
    </row>
    <row r="93" spans="2:17" x14ac:dyDescent="0.25">
      <c r="B93" s="47"/>
      <c r="F93" s="47"/>
      <c r="J93" s="47"/>
      <c r="N93" s="47"/>
      <c r="Q93" s="10" t="str">
        <f t="shared" si="2"/>
        <v/>
      </c>
    </row>
    <row r="94" spans="2:17" x14ac:dyDescent="0.25">
      <c r="B94" s="47"/>
      <c r="F94" s="47"/>
      <c r="J94" s="47"/>
      <c r="N94" s="47"/>
      <c r="Q94" s="10" t="str">
        <f t="shared" si="2"/>
        <v/>
      </c>
    </row>
    <row r="95" spans="2:17" x14ac:dyDescent="0.25">
      <c r="B95" s="47"/>
      <c r="F95" s="47"/>
      <c r="J95" s="47"/>
      <c r="N95" s="47"/>
      <c r="Q95" s="10" t="str">
        <f t="shared" si="2"/>
        <v/>
      </c>
    </row>
    <row r="96" spans="2:17" x14ac:dyDescent="0.25">
      <c r="B96" s="47"/>
      <c r="F96" s="47"/>
      <c r="J96" s="47"/>
      <c r="N96" s="47"/>
      <c r="Q96" s="10" t="str">
        <f t="shared" si="2"/>
        <v/>
      </c>
    </row>
    <row r="97" spans="2:17" x14ac:dyDescent="0.25">
      <c r="B97" s="47"/>
      <c r="F97" s="47"/>
      <c r="J97" s="47"/>
      <c r="N97" s="47"/>
      <c r="Q97" s="10" t="str">
        <f t="shared" si="2"/>
        <v/>
      </c>
    </row>
    <row r="98" spans="2:17" x14ac:dyDescent="0.25">
      <c r="B98" s="47"/>
      <c r="F98" s="47"/>
      <c r="J98" s="47"/>
      <c r="N98" s="47"/>
      <c r="Q98" s="10" t="str">
        <f t="shared" ref="Q98:Q108" si="3">IF(D98=L98, "", "XXXXX")</f>
        <v/>
      </c>
    </row>
    <row r="99" spans="2:17" x14ac:dyDescent="0.25">
      <c r="B99" s="47"/>
      <c r="F99" s="47"/>
      <c r="J99" s="47"/>
      <c r="N99" s="47"/>
      <c r="Q99" s="10" t="str">
        <f t="shared" si="3"/>
        <v/>
      </c>
    </row>
    <row r="100" spans="2:17" x14ac:dyDescent="0.25">
      <c r="B100" s="47"/>
      <c r="F100" s="47"/>
      <c r="J100" s="47"/>
      <c r="N100" s="47"/>
      <c r="Q100" s="10" t="str">
        <f t="shared" si="3"/>
        <v/>
      </c>
    </row>
    <row r="101" spans="2:17" x14ac:dyDescent="0.25">
      <c r="B101" s="47"/>
      <c r="F101" s="47"/>
      <c r="J101" s="47"/>
      <c r="N101" s="47"/>
      <c r="Q101" s="10" t="str">
        <f t="shared" si="3"/>
        <v/>
      </c>
    </row>
    <row r="102" spans="2:17" x14ac:dyDescent="0.25">
      <c r="B102" s="47"/>
      <c r="F102" s="47"/>
      <c r="J102" s="47"/>
      <c r="N102" s="47"/>
      <c r="Q102" s="10" t="str">
        <f t="shared" si="3"/>
        <v/>
      </c>
    </row>
    <row r="103" spans="2:17" x14ac:dyDescent="0.25">
      <c r="B103" s="47"/>
      <c r="F103" s="47"/>
      <c r="J103" s="47"/>
      <c r="N103" s="47"/>
      <c r="Q103" s="10" t="str">
        <f t="shared" si="3"/>
        <v/>
      </c>
    </row>
    <row r="104" spans="2:17" x14ac:dyDescent="0.25">
      <c r="B104" s="47"/>
      <c r="F104" s="47"/>
      <c r="J104" s="47"/>
      <c r="N104" s="47"/>
      <c r="Q104" s="10" t="str">
        <f t="shared" si="3"/>
        <v/>
      </c>
    </row>
    <row r="105" spans="2:17" x14ac:dyDescent="0.25">
      <c r="B105" s="47"/>
      <c r="F105" s="47"/>
      <c r="J105" s="47"/>
      <c r="N105" s="47"/>
      <c r="Q105" s="10" t="str">
        <f t="shared" si="3"/>
        <v/>
      </c>
    </row>
    <row r="106" spans="2:17" x14ac:dyDescent="0.25">
      <c r="B106" s="47"/>
      <c r="F106" s="47"/>
      <c r="J106" s="47"/>
      <c r="N106" s="47"/>
      <c r="Q106" s="10" t="str">
        <f t="shared" si="3"/>
        <v/>
      </c>
    </row>
    <row r="107" spans="2:17" x14ac:dyDescent="0.25">
      <c r="B107" s="47"/>
      <c r="F107" s="47"/>
      <c r="J107" s="47"/>
      <c r="N107" s="47"/>
      <c r="Q107" s="10" t="str">
        <f t="shared" si="3"/>
        <v/>
      </c>
    </row>
    <row r="108" spans="2:17" x14ac:dyDescent="0.25">
      <c r="J108" s="47"/>
      <c r="N108" s="47"/>
      <c r="Q108" s="10" t="str">
        <f t="shared" si="3"/>
        <v/>
      </c>
    </row>
    <row r="109" spans="2:17" x14ac:dyDescent="0.25">
      <c r="J109" s="47"/>
      <c r="N109" s="47"/>
    </row>
    <row r="110" spans="2:17" x14ac:dyDescent="0.25">
      <c r="J110" s="47"/>
      <c r="N110" s="47"/>
    </row>
    <row r="111" spans="2:17" x14ac:dyDescent="0.25">
      <c r="J111" s="47"/>
      <c r="N111" s="47"/>
    </row>
    <row r="113" spans="10:14" x14ac:dyDescent="0.25">
      <c r="J113" s="47"/>
      <c r="N113" s="47"/>
    </row>
    <row r="114" spans="10:14" x14ac:dyDescent="0.25">
      <c r="J114" s="47"/>
      <c r="N114" s="47"/>
    </row>
    <row r="115" spans="10:14" x14ac:dyDescent="0.25">
      <c r="J115" s="47"/>
      <c r="N115" s="47"/>
    </row>
    <row r="116" spans="10:14" x14ac:dyDescent="0.25">
      <c r="J116" s="47"/>
      <c r="N116" s="47"/>
    </row>
    <row r="118" spans="10:14" x14ac:dyDescent="0.25">
      <c r="J118" s="47"/>
      <c r="N118" s="47"/>
    </row>
    <row r="119" spans="10:14" x14ac:dyDescent="0.25">
      <c r="J119" s="47"/>
      <c r="N119" s="47"/>
    </row>
    <row r="120" spans="10:14" x14ac:dyDescent="0.25">
      <c r="J120" s="47"/>
      <c r="N120" s="47"/>
    </row>
    <row r="121" spans="10:14" x14ac:dyDescent="0.25">
      <c r="J121" s="47"/>
      <c r="N121" s="47"/>
    </row>
    <row r="122" spans="10:14" x14ac:dyDescent="0.25">
      <c r="J122" s="47"/>
      <c r="N122" s="47"/>
    </row>
    <row r="123" spans="10:14" x14ac:dyDescent="0.25">
      <c r="J123" s="47"/>
      <c r="N123" s="47"/>
    </row>
    <row r="124" spans="10:14" x14ac:dyDescent="0.25">
      <c r="J124" s="47"/>
      <c r="N124" s="47"/>
    </row>
    <row r="125" spans="10:14" x14ac:dyDescent="0.25">
      <c r="J125" s="47"/>
      <c r="N125" s="47"/>
    </row>
    <row r="126" spans="10:14" x14ac:dyDescent="0.25">
      <c r="J126" s="47"/>
      <c r="N126" s="47"/>
    </row>
    <row r="127" spans="10:14" x14ac:dyDescent="0.25">
      <c r="J127" s="47"/>
      <c r="N127" s="47"/>
    </row>
    <row r="128" spans="10:14" x14ac:dyDescent="0.25">
      <c r="J128" s="47"/>
      <c r="N128" s="47"/>
    </row>
    <row r="129" spans="10:14" x14ac:dyDescent="0.25">
      <c r="J129" s="47"/>
      <c r="N129" s="47"/>
    </row>
    <row r="130" spans="10:14" x14ac:dyDescent="0.25">
      <c r="J130" s="47"/>
      <c r="N130" s="47"/>
    </row>
    <row r="131" spans="10:14" x14ac:dyDescent="0.25">
      <c r="J131" s="47"/>
      <c r="N131" s="47"/>
    </row>
    <row r="132" spans="10:14" x14ac:dyDescent="0.25">
      <c r="J132" s="47"/>
      <c r="N132" s="47"/>
    </row>
    <row r="133" spans="10:14" x14ac:dyDescent="0.25">
      <c r="J133" s="47"/>
      <c r="N133" s="47"/>
    </row>
    <row r="135" spans="10:14" x14ac:dyDescent="0.25">
      <c r="J135" s="47"/>
      <c r="N135" s="47"/>
    </row>
    <row r="136" spans="10:14" x14ac:dyDescent="0.25">
      <c r="J136" s="47"/>
      <c r="N136" s="47"/>
    </row>
    <row r="137" spans="10:14" x14ac:dyDescent="0.25">
      <c r="J137" s="47"/>
      <c r="N137" s="47"/>
    </row>
    <row r="138" spans="10:14" x14ac:dyDescent="0.25">
      <c r="J138" s="47"/>
      <c r="N138" s="47"/>
    </row>
    <row r="140" spans="10:14" x14ac:dyDescent="0.25">
      <c r="J140" s="47"/>
      <c r="N140" s="47"/>
    </row>
  </sheetData>
  <mergeCells count="3">
    <mergeCell ref="A1:A17"/>
    <mergeCell ref="A21:A25"/>
    <mergeCell ref="A29:A61"/>
  </mergeCells>
  <pageMargins left="0.7" right="0.7" top="0.75" bottom="0.75" header="0.3" footer="0.3"/>
  <pageSetup orientation="portrait" verticalDpi="60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70" zoomScaleNormal="70" zoomScalePageLayoutView="80" workbookViewId="0">
      <pane xSplit="15" topLeftCell="P1" activePane="topRight" state="frozen"/>
      <selection pane="topRight" activeCell="E19" sqref="E19:M39"/>
    </sheetView>
  </sheetViews>
  <sheetFormatPr defaultColWidth="8.77734375" defaultRowHeight="14.4" x14ac:dyDescent="0.3"/>
  <cols>
    <col min="1" max="1" width="7.109375" style="31" bestFit="1" customWidth="1"/>
    <col min="2" max="2" width="9.44140625" style="31" bestFit="1" customWidth="1"/>
    <col min="3" max="4" width="10.109375" style="31" customWidth="1"/>
    <col min="5" max="5" width="18.109375" style="31" bestFit="1" customWidth="1"/>
    <col min="6" max="6" width="12.77734375" style="31" bestFit="1" customWidth="1"/>
    <col min="7" max="7" width="14.44140625" style="31" bestFit="1" customWidth="1"/>
    <col min="8" max="9" width="12.109375" style="31" bestFit="1" customWidth="1"/>
    <col min="10" max="10" width="13.44140625" style="31" bestFit="1" customWidth="1"/>
    <col min="11" max="11" width="12.109375" style="31" bestFit="1" customWidth="1"/>
    <col min="12" max="12" width="12.77734375" style="31" bestFit="1" customWidth="1"/>
    <col min="13" max="13" width="12.44140625" style="31" bestFit="1" customWidth="1"/>
    <col min="14" max="16" width="10.109375" style="31" bestFit="1" customWidth="1"/>
    <col min="17" max="20" width="9.44140625" style="31" bestFit="1" customWidth="1"/>
    <col min="21" max="24" width="10.44140625" style="31" bestFit="1" customWidth="1"/>
    <col min="25" max="29" width="10.77734375" style="31" bestFit="1" customWidth="1"/>
    <col min="30" max="30" width="10.44140625" style="31" bestFit="1" customWidth="1"/>
    <col min="31" max="31" width="11.109375" style="31" customWidth="1"/>
    <col min="32" max="32" width="11" style="31" customWidth="1"/>
    <col min="33" max="33" width="12.77734375" style="31" customWidth="1"/>
    <col min="34" max="37" width="10.44140625" style="31" bestFit="1" customWidth="1"/>
    <col min="38" max="42" width="10.77734375" style="31" bestFit="1" customWidth="1"/>
    <col min="43" max="46" width="10.109375" style="31" bestFit="1" customWidth="1"/>
    <col min="47" max="47" width="10.44140625" style="31" bestFit="1" customWidth="1"/>
    <col min="48" max="48" width="11.44140625" style="31" customWidth="1"/>
    <col min="49" max="16384" width="8.77734375" style="31"/>
  </cols>
  <sheetData>
    <row r="1" spans="1:48" x14ac:dyDescent="0.3">
      <c r="A1" s="31" t="s">
        <v>47</v>
      </c>
      <c r="B1" s="31" t="s">
        <v>48</v>
      </c>
      <c r="C1" s="31" t="s">
        <v>49</v>
      </c>
      <c r="D1" s="31" t="s">
        <v>50</v>
      </c>
      <c r="E1" s="31" t="s">
        <v>51</v>
      </c>
      <c r="F1" s="31" t="s">
        <v>52</v>
      </c>
      <c r="G1" s="31" t="s">
        <v>53</v>
      </c>
      <c r="H1" s="31" t="s">
        <v>54</v>
      </c>
      <c r="I1" s="31" t="s">
        <v>55</v>
      </c>
      <c r="J1" s="31" t="s">
        <v>56</v>
      </c>
      <c r="K1" s="31" t="s">
        <v>57</v>
      </c>
      <c r="L1" s="31" t="s">
        <v>58</v>
      </c>
      <c r="M1" s="31" t="s">
        <v>59</v>
      </c>
      <c r="N1" s="31" t="s">
        <v>60</v>
      </c>
      <c r="O1" s="31" t="s">
        <v>61</v>
      </c>
      <c r="P1" s="31" t="s">
        <v>62</v>
      </c>
      <c r="Q1" s="31" t="s">
        <v>63</v>
      </c>
      <c r="R1" s="31" t="s">
        <v>64</v>
      </c>
      <c r="S1" s="31" t="s">
        <v>65</v>
      </c>
      <c r="T1" s="31" t="s">
        <v>66</v>
      </c>
      <c r="U1" s="31" t="s">
        <v>67</v>
      </c>
      <c r="V1" s="31" t="s">
        <v>68</v>
      </c>
      <c r="W1" s="31" t="s">
        <v>69</v>
      </c>
      <c r="X1" s="31" t="s">
        <v>70</v>
      </c>
      <c r="Y1" s="31" t="s">
        <v>71</v>
      </c>
      <c r="Z1" s="31" t="s">
        <v>72</v>
      </c>
      <c r="AA1" s="31" t="s">
        <v>73</v>
      </c>
      <c r="AB1" s="31" t="s">
        <v>74</v>
      </c>
      <c r="AC1" s="31" t="s">
        <v>75</v>
      </c>
      <c r="AD1" s="31" t="s">
        <v>76</v>
      </c>
      <c r="AE1" s="31" t="s">
        <v>77</v>
      </c>
      <c r="AF1" s="31" t="s">
        <v>78</v>
      </c>
      <c r="AG1" s="31" t="s">
        <v>79</v>
      </c>
      <c r="AH1" s="31" t="s">
        <v>80</v>
      </c>
      <c r="AI1" s="31" t="s">
        <v>81</v>
      </c>
      <c r="AJ1" s="31" t="s">
        <v>82</v>
      </c>
      <c r="AK1" s="31" t="s">
        <v>83</v>
      </c>
      <c r="AL1" s="31" t="s">
        <v>84</v>
      </c>
      <c r="AM1" s="31" t="s">
        <v>85</v>
      </c>
      <c r="AN1" s="31" t="s">
        <v>86</v>
      </c>
      <c r="AO1" s="31" t="s">
        <v>87</v>
      </c>
      <c r="AP1" s="31" t="s">
        <v>88</v>
      </c>
      <c r="AQ1" s="31" t="s">
        <v>89</v>
      </c>
      <c r="AR1" s="31" t="s">
        <v>115</v>
      </c>
      <c r="AS1" s="31" t="s">
        <v>116</v>
      </c>
      <c r="AT1" s="31" t="s">
        <v>117</v>
      </c>
      <c r="AU1" s="31" t="s">
        <v>118</v>
      </c>
    </row>
    <row r="2" spans="1:48" x14ac:dyDescent="0.3">
      <c r="A2" s="32">
        <v>19728</v>
      </c>
      <c r="B2" s="31">
        <v>200803</v>
      </c>
      <c r="C2" s="32">
        <v>3271</v>
      </c>
      <c r="D2" s="32">
        <v>5192</v>
      </c>
      <c r="E2" s="32">
        <v>6169</v>
      </c>
      <c r="F2" s="32">
        <v>6794</v>
      </c>
      <c r="G2" s="32">
        <v>7402</v>
      </c>
      <c r="H2" s="32">
        <v>7852</v>
      </c>
      <c r="I2" s="32">
        <v>8208</v>
      </c>
      <c r="J2" s="32">
        <v>8569</v>
      </c>
      <c r="K2" s="32">
        <v>8899</v>
      </c>
      <c r="L2" s="32">
        <v>9176</v>
      </c>
      <c r="M2" s="32">
        <v>9484</v>
      </c>
      <c r="N2" s="32">
        <v>9831</v>
      </c>
      <c r="O2" s="32">
        <v>10238</v>
      </c>
      <c r="P2" s="32">
        <v>10555</v>
      </c>
      <c r="Q2" s="32">
        <v>11078</v>
      </c>
      <c r="R2" s="32">
        <v>11674</v>
      </c>
      <c r="S2" s="32">
        <v>12302</v>
      </c>
      <c r="T2" s="32">
        <v>13021</v>
      </c>
      <c r="U2" s="32">
        <v>13864</v>
      </c>
      <c r="V2" s="32">
        <v>14711</v>
      </c>
      <c r="W2" s="32">
        <v>15933</v>
      </c>
      <c r="X2" s="32">
        <v>16379</v>
      </c>
      <c r="Y2" s="32">
        <v>16522</v>
      </c>
      <c r="Z2" s="32">
        <v>16759</v>
      </c>
      <c r="AA2" s="32">
        <v>17227</v>
      </c>
      <c r="AB2" s="32">
        <v>17544</v>
      </c>
      <c r="AC2" s="32">
        <v>17807</v>
      </c>
      <c r="AD2" s="32">
        <v>18110</v>
      </c>
      <c r="AE2" s="32">
        <v>18346</v>
      </c>
      <c r="AF2" s="32">
        <v>18505</v>
      </c>
      <c r="AG2" s="32">
        <v>18912</v>
      </c>
      <c r="AH2" s="32">
        <v>19167</v>
      </c>
      <c r="AI2" s="32">
        <v>19350</v>
      </c>
      <c r="AJ2" s="32">
        <v>19442</v>
      </c>
      <c r="AK2" s="32">
        <v>19492</v>
      </c>
      <c r="AL2" s="32">
        <v>19543</v>
      </c>
      <c r="AM2" s="32">
        <v>19623</v>
      </c>
      <c r="AN2" s="32">
        <v>19717</v>
      </c>
      <c r="AO2" s="32">
        <v>19719</v>
      </c>
      <c r="AP2" s="32">
        <v>19720</v>
      </c>
      <c r="AQ2" s="32">
        <v>19725</v>
      </c>
      <c r="AR2" s="32"/>
    </row>
    <row r="3" spans="1:48" x14ac:dyDescent="0.3">
      <c r="A3" s="32">
        <v>20368</v>
      </c>
      <c r="B3" s="31">
        <v>200903</v>
      </c>
      <c r="C3" s="32">
        <v>3117</v>
      </c>
      <c r="D3" s="32">
        <v>5155</v>
      </c>
      <c r="E3" s="32">
        <v>6215</v>
      </c>
      <c r="F3" s="32">
        <v>6989</v>
      </c>
      <c r="G3" s="32">
        <v>7552</v>
      </c>
      <c r="H3" s="32">
        <v>8116</v>
      </c>
      <c r="I3" s="32">
        <v>8551</v>
      </c>
      <c r="J3" s="32">
        <v>8950</v>
      </c>
      <c r="K3" s="32">
        <v>9345</v>
      </c>
      <c r="L3" s="32">
        <v>9736</v>
      </c>
      <c r="M3" s="32">
        <v>10133</v>
      </c>
      <c r="N3" s="32">
        <v>10569</v>
      </c>
      <c r="O3" s="32">
        <v>11102</v>
      </c>
      <c r="P3" s="32">
        <v>11479</v>
      </c>
      <c r="Q3" s="32">
        <v>12041</v>
      </c>
      <c r="R3" s="32">
        <v>12658</v>
      </c>
      <c r="S3" s="32">
        <v>13321</v>
      </c>
      <c r="T3" s="32">
        <v>14073</v>
      </c>
      <c r="U3" s="32">
        <v>14882</v>
      </c>
      <c r="V3" s="32">
        <v>15701</v>
      </c>
      <c r="W3" s="32">
        <v>16880</v>
      </c>
      <c r="X3" s="32">
        <v>17197</v>
      </c>
      <c r="Y3" s="32">
        <v>17357</v>
      </c>
      <c r="Z3" s="32">
        <v>17529</v>
      </c>
      <c r="AA3" s="32">
        <v>17697</v>
      </c>
      <c r="AB3" s="32">
        <v>17984</v>
      </c>
      <c r="AC3" s="32">
        <v>18460</v>
      </c>
      <c r="AD3" s="32">
        <v>18859</v>
      </c>
      <c r="AE3" s="32">
        <v>19107</v>
      </c>
      <c r="AF3" s="32">
        <v>19313</v>
      </c>
      <c r="AG3" s="32">
        <v>19532</v>
      </c>
      <c r="AH3" s="32">
        <v>19639</v>
      </c>
      <c r="AI3" s="32">
        <v>19901</v>
      </c>
      <c r="AJ3" s="32">
        <v>20000</v>
      </c>
      <c r="AK3" s="32">
        <v>20075</v>
      </c>
      <c r="AL3" s="32">
        <v>20190</v>
      </c>
      <c r="AM3" s="32">
        <v>20287</v>
      </c>
      <c r="AN3" s="32">
        <v>20348</v>
      </c>
      <c r="AO3" s="32">
        <v>20356</v>
      </c>
      <c r="AP3" s="32">
        <v>20357</v>
      </c>
      <c r="AQ3" s="32">
        <v>20365</v>
      </c>
      <c r="AR3" s="32">
        <v>20368</v>
      </c>
      <c r="AS3" s="32"/>
    </row>
    <row r="4" spans="1:48" x14ac:dyDescent="0.3">
      <c r="A4" s="32">
        <v>20559</v>
      </c>
      <c r="B4" s="31">
        <v>201003</v>
      </c>
      <c r="C4" s="32">
        <v>3686</v>
      </c>
      <c r="D4" s="32">
        <v>6104</v>
      </c>
      <c r="E4" s="32">
        <v>7279</v>
      </c>
      <c r="F4" s="32">
        <v>7984</v>
      </c>
      <c r="G4" s="32">
        <v>8651</v>
      </c>
      <c r="H4" s="32">
        <v>9186</v>
      </c>
      <c r="I4" s="32">
        <v>9706</v>
      </c>
      <c r="J4" s="32">
        <v>10166</v>
      </c>
      <c r="K4" s="32">
        <v>10498</v>
      </c>
      <c r="L4" s="32">
        <v>10879</v>
      </c>
      <c r="M4" s="32">
        <v>11282</v>
      </c>
      <c r="N4" s="32">
        <v>11736</v>
      </c>
      <c r="O4" s="32">
        <v>12259</v>
      </c>
      <c r="P4" s="32">
        <v>12656</v>
      </c>
      <c r="Q4" s="32">
        <v>13167</v>
      </c>
      <c r="R4" s="32">
        <v>13755</v>
      </c>
      <c r="S4" s="32">
        <v>14455</v>
      </c>
      <c r="T4" s="32">
        <v>15160</v>
      </c>
      <c r="U4" s="32">
        <v>15847</v>
      </c>
      <c r="V4" s="32">
        <v>16604</v>
      </c>
      <c r="W4" s="32">
        <v>17627</v>
      </c>
      <c r="X4" s="32">
        <v>17986</v>
      </c>
      <c r="Y4" s="32">
        <v>18088</v>
      </c>
      <c r="Z4" s="32">
        <v>18242</v>
      </c>
      <c r="AA4" s="32">
        <v>18503</v>
      </c>
      <c r="AB4" s="32">
        <v>18626</v>
      </c>
      <c r="AC4" s="32">
        <v>18954</v>
      </c>
      <c r="AD4" s="32">
        <v>19143</v>
      </c>
      <c r="AE4" s="32">
        <v>19338</v>
      </c>
      <c r="AF4" s="32">
        <v>19601</v>
      </c>
      <c r="AG4" s="32">
        <v>19741</v>
      </c>
      <c r="AH4" s="32">
        <v>19899</v>
      </c>
      <c r="AI4" s="32">
        <v>19999</v>
      </c>
      <c r="AJ4" s="32">
        <v>20147</v>
      </c>
      <c r="AK4" s="32"/>
      <c r="AO4" s="32">
        <f>AVERAGE(AO3,AO5)</f>
        <v>20523.5</v>
      </c>
      <c r="AP4" s="32">
        <f>AVERAGE(AP3,AP5)</f>
        <v>20524</v>
      </c>
      <c r="AQ4" s="32">
        <f>AVERAGE(AQ3,AQ5)</f>
        <v>20530</v>
      </c>
    </row>
    <row r="5" spans="1:48" x14ac:dyDescent="0.3">
      <c r="A5" s="32">
        <v>20699</v>
      </c>
      <c r="B5" s="31">
        <v>201103</v>
      </c>
      <c r="C5" s="32">
        <v>1763</v>
      </c>
      <c r="D5" s="32">
        <v>6231</v>
      </c>
      <c r="E5" s="32">
        <v>7603</v>
      </c>
      <c r="F5" s="32">
        <v>8557</v>
      </c>
      <c r="G5" s="32">
        <v>9337</v>
      </c>
      <c r="H5" s="32">
        <v>9937</v>
      </c>
      <c r="I5" s="32">
        <v>10400</v>
      </c>
      <c r="J5" s="32">
        <v>10871</v>
      </c>
      <c r="K5" s="32">
        <v>11181</v>
      </c>
      <c r="L5" s="32">
        <v>11578</v>
      </c>
      <c r="M5" s="32">
        <v>12047</v>
      </c>
      <c r="N5" s="32">
        <v>12492</v>
      </c>
      <c r="O5" s="32">
        <v>12968</v>
      </c>
      <c r="P5" s="32">
        <v>13298</v>
      </c>
      <c r="Q5" s="32">
        <v>13706</v>
      </c>
      <c r="R5" s="32">
        <v>14280</v>
      </c>
      <c r="S5" s="32">
        <v>14858</v>
      </c>
      <c r="T5" s="32">
        <v>15441</v>
      </c>
      <c r="U5" s="32">
        <v>16170</v>
      </c>
      <c r="V5" s="32">
        <v>16911</v>
      </c>
      <c r="W5" s="32">
        <v>17654</v>
      </c>
      <c r="X5" s="32">
        <v>18334</v>
      </c>
      <c r="Y5" s="32">
        <v>18516</v>
      </c>
      <c r="Z5" s="32">
        <v>18487</v>
      </c>
      <c r="AA5" s="32">
        <v>18784</v>
      </c>
      <c r="AB5" s="32">
        <v>18945</v>
      </c>
      <c r="AC5" s="32">
        <v>19110</v>
      </c>
      <c r="AD5" s="32">
        <v>19183</v>
      </c>
      <c r="AE5" s="32">
        <v>19476</v>
      </c>
      <c r="AF5" s="32">
        <v>19639</v>
      </c>
      <c r="AG5" s="32">
        <v>19788</v>
      </c>
      <c r="AH5" s="32">
        <v>19908</v>
      </c>
      <c r="AI5" s="32">
        <v>20130</v>
      </c>
      <c r="AJ5" s="32">
        <v>20362</v>
      </c>
      <c r="AK5" s="32">
        <v>20432</v>
      </c>
      <c r="AL5" s="32">
        <v>20560</v>
      </c>
      <c r="AM5" s="32">
        <v>20627</v>
      </c>
      <c r="AN5" s="32">
        <v>20664</v>
      </c>
      <c r="AO5" s="32">
        <v>20691</v>
      </c>
      <c r="AP5" s="32">
        <v>20691</v>
      </c>
      <c r="AQ5" s="32">
        <v>20695</v>
      </c>
      <c r="AR5" s="32">
        <v>20700</v>
      </c>
      <c r="AS5" s="32">
        <v>20738</v>
      </c>
      <c r="AT5" s="32">
        <v>20740</v>
      </c>
      <c r="AU5" s="32">
        <v>20744</v>
      </c>
      <c r="AV5" s="32">
        <v>20742</v>
      </c>
    </row>
    <row r="6" spans="1:48" x14ac:dyDescent="0.3">
      <c r="A6" s="32">
        <v>19825</v>
      </c>
      <c r="B6" s="31">
        <v>201203</v>
      </c>
      <c r="C6" s="32">
        <v>1987</v>
      </c>
      <c r="D6" s="32">
        <v>6428</v>
      </c>
      <c r="E6" s="32">
        <v>7683</v>
      </c>
      <c r="F6" s="32">
        <v>8645</v>
      </c>
      <c r="G6" s="32">
        <v>9289</v>
      </c>
      <c r="H6" s="32">
        <v>9965</v>
      </c>
      <c r="I6" s="32">
        <v>10489</v>
      </c>
      <c r="J6" s="32">
        <v>10906</v>
      </c>
      <c r="K6" s="32">
        <v>11293</v>
      </c>
      <c r="L6" s="32">
        <v>11687</v>
      </c>
      <c r="M6" s="32">
        <v>12100</v>
      </c>
      <c r="N6" s="32">
        <v>12564</v>
      </c>
      <c r="O6" s="32">
        <v>12933</v>
      </c>
      <c r="P6" s="32">
        <v>13363</v>
      </c>
      <c r="Q6" s="32">
        <v>13667</v>
      </c>
      <c r="R6" s="32">
        <v>14185</v>
      </c>
      <c r="S6" s="32">
        <v>14660</v>
      </c>
      <c r="T6" s="32">
        <v>15161</v>
      </c>
      <c r="U6" s="32">
        <v>15885</v>
      </c>
      <c r="V6" s="32">
        <v>16485</v>
      </c>
      <c r="W6" s="32">
        <v>17128</v>
      </c>
      <c r="X6" s="32">
        <v>17725</v>
      </c>
      <c r="Y6" s="32">
        <v>17883</v>
      </c>
      <c r="Z6" s="32">
        <v>17877</v>
      </c>
      <c r="AA6" s="32">
        <v>18027</v>
      </c>
      <c r="AB6" s="32">
        <v>18155</v>
      </c>
      <c r="AC6" s="32">
        <v>18320</v>
      </c>
      <c r="AD6" s="32">
        <v>18524</v>
      </c>
      <c r="AE6" s="32">
        <v>18701</v>
      </c>
      <c r="AF6" s="32">
        <v>18843</v>
      </c>
      <c r="AG6" s="32">
        <v>18982</v>
      </c>
      <c r="AH6" s="32">
        <v>19066</v>
      </c>
      <c r="AI6" s="32">
        <v>19183</v>
      </c>
      <c r="AJ6" s="32">
        <v>19307</v>
      </c>
      <c r="AK6" s="32">
        <v>19358</v>
      </c>
      <c r="AL6" s="32">
        <v>19615</v>
      </c>
      <c r="AM6" s="32">
        <v>19738</v>
      </c>
      <c r="AN6" s="32">
        <v>19797</v>
      </c>
      <c r="AO6" s="32">
        <v>19814</v>
      </c>
      <c r="AP6" s="32">
        <v>19814</v>
      </c>
      <c r="AQ6" s="32">
        <v>19826</v>
      </c>
      <c r="AR6" s="32">
        <v>19826</v>
      </c>
      <c r="AS6" s="32"/>
    </row>
    <row r="7" spans="1:48" x14ac:dyDescent="0.3">
      <c r="A7" s="31">
        <v>19629</v>
      </c>
      <c r="B7" s="31">
        <v>201303</v>
      </c>
      <c r="C7" s="32">
        <v>2130</v>
      </c>
      <c r="D7" s="32">
        <v>6415</v>
      </c>
      <c r="E7" s="32">
        <v>7563</v>
      </c>
      <c r="F7" s="32">
        <v>8437</v>
      </c>
      <c r="G7" s="32">
        <v>9044</v>
      </c>
      <c r="H7" s="32">
        <v>9535</v>
      </c>
      <c r="I7" s="31">
        <v>10108</v>
      </c>
      <c r="J7" s="31">
        <v>10499</v>
      </c>
      <c r="K7" s="31">
        <v>10801</v>
      </c>
      <c r="L7" s="31">
        <v>11159</v>
      </c>
      <c r="M7" s="31">
        <v>11549</v>
      </c>
      <c r="N7" s="31">
        <v>11910</v>
      </c>
      <c r="O7" s="30">
        <v>12315</v>
      </c>
      <c r="P7" s="31">
        <v>12761</v>
      </c>
      <c r="Q7" s="30">
        <v>13106</v>
      </c>
      <c r="R7" s="31">
        <v>13591</v>
      </c>
      <c r="S7" s="31">
        <v>14157</v>
      </c>
      <c r="T7" s="31">
        <v>15014</v>
      </c>
      <c r="U7" s="31">
        <v>15686</v>
      </c>
      <c r="V7" s="30">
        <v>16387</v>
      </c>
      <c r="W7" s="31">
        <v>17004</v>
      </c>
      <c r="X7" s="31">
        <v>17710</v>
      </c>
      <c r="Y7" s="30">
        <v>17873</v>
      </c>
      <c r="Z7" s="31">
        <v>17724</v>
      </c>
      <c r="AA7" s="31">
        <v>17882</v>
      </c>
      <c r="AB7" s="31">
        <v>17978</v>
      </c>
      <c r="AC7" s="32">
        <v>18157</v>
      </c>
      <c r="AD7" s="32">
        <v>18502</v>
      </c>
      <c r="AE7" s="32">
        <v>18644</v>
      </c>
      <c r="AF7" s="31">
        <v>18758</v>
      </c>
      <c r="AG7" s="31">
        <v>18872</v>
      </c>
      <c r="AH7" s="32">
        <v>19006</v>
      </c>
      <c r="AI7" s="31">
        <v>19132</v>
      </c>
      <c r="AJ7" s="31">
        <v>19239</v>
      </c>
      <c r="AK7" s="30">
        <v>19411</v>
      </c>
      <c r="AL7" s="31">
        <v>19468</v>
      </c>
      <c r="AM7" s="30">
        <v>19556</v>
      </c>
      <c r="AN7" s="31">
        <v>19605</v>
      </c>
      <c r="AO7" s="31">
        <v>19626</v>
      </c>
      <c r="AP7" s="31">
        <v>19627</v>
      </c>
      <c r="AQ7" s="31">
        <v>19628</v>
      </c>
    </row>
    <row r="8" spans="1:48" x14ac:dyDescent="0.3">
      <c r="A8" s="31">
        <v>18649</v>
      </c>
      <c r="B8" s="31">
        <v>201403</v>
      </c>
      <c r="C8" s="32"/>
      <c r="D8" s="32">
        <v>1973</v>
      </c>
      <c r="E8" s="32">
        <v>6062</v>
      </c>
      <c r="F8" s="32">
        <v>7285</v>
      </c>
      <c r="G8" s="32">
        <v>8153</v>
      </c>
      <c r="H8" s="32">
        <v>8825</v>
      </c>
      <c r="I8" s="31">
        <v>9346</v>
      </c>
      <c r="J8" s="32">
        <v>9755</v>
      </c>
      <c r="K8" s="31">
        <v>10151</v>
      </c>
      <c r="L8" s="31">
        <v>10520</v>
      </c>
      <c r="M8" s="31">
        <v>10871</v>
      </c>
      <c r="N8" s="31">
        <v>11285</v>
      </c>
      <c r="O8" s="30">
        <v>11724</v>
      </c>
      <c r="P8" s="31">
        <v>12155</v>
      </c>
      <c r="Q8" s="30">
        <v>12480</v>
      </c>
      <c r="R8" s="31">
        <v>12941</v>
      </c>
      <c r="S8" s="31">
        <v>13533</v>
      </c>
      <c r="T8" s="31">
        <v>14122</v>
      </c>
      <c r="U8" s="31">
        <v>14706</v>
      </c>
      <c r="V8" s="30">
        <v>15390</v>
      </c>
      <c r="W8" s="31">
        <v>16126</v>
      </c>
      <c r="X8" s="31">
        <v>16830</v>
      </c>
      <c r="Y8" s="30">
        <v>17059</v>
      </c>
      <c r="Z8" s="31">
        <v>17066</v>
      </c>
      <c r="AA8" s="31">
        <v>17222</v>
      </c>
      <c r="AB8" s="31">
        <v>17348</v>
      </c>
      <c r="AC8" s="32">
        <v>17448</v>
      </c>
      <c r="AD8" s="32">
        <v>17567</v>
      </c>
      <c r="AE8" s="32">
        <v>17678</v>
      </c>
      <c r="AF8" s="31">
        <v>17903</v>
      </c>
      <c r="AG8" s="31">
        <v>18078</v>
      </c>
      <c r="AH8" s="32">
        <v>18285</v>
      </c>
      <c r="AI8" s="31">
        <v>18375</v>
      </c>
      <c r="AJ8" s="31">
        <v>18460</v>
      </c>
      <c r="AK8" s="30"/>
      <c r="AM8" s="30"/>
    </row>
    <row r="9" spans="1:48" x14ac:dyDescent="0.3">
      <c r="A9" s="31">
        <v>18116</v>
      </c>
      <c r="B9" s="31">
        <v>201503</v>
      </c>
      <c r="C9" s="32"/>
      <c r="D9" s="32">
        <v>1796</v>
      </c>
      <c r="E9" s="32">
        <v>5472</v>
      </c>
      <c r="F9" s="32">
        <v>6599</v>
      </c>
      <c r="G9" s="32">
        <v>7396</v>
      </c>
      <c r="H9" s="32">
        <v>7913</v>
      </c>
      <c r="I9" s="31">
        <v>8635</v>
      </c>
      <c r="J9" s="32">
        <v>9030</v>
      </c>
      <c r="K9" s="31">
        <v>9382</v>
      </c>
      <c r="L9" s="31">
        <v>9744</v>
      </c>
      <c r="M9" s="31">
        <v>10096</v>
      </c>
      <c r="N9" s="31">
        <v>10569</v>
      </c>
      <c r="O9" s="30">
        <v>10939</v>
      </c>
      <c r="P9" s="31">
        <v>11350</v>
      </c>
      <c r="Q9" s="30">
        <v>11645</v>
      </c>
      <c r="R9" s="31">
        <v>12144</v>
      </c>
      <c r="S9" s="31">
        <v>12720</v>
      </c>
      <c r="T9" s="31">
        <v>13320</v>
      </c>
      <c r="U9" s="31">
        <v>14032</v>
      </c>
      <c r="V9" s="30">
        <v>14753</v>
      </c>
      <c r="W9" s="31">
        <v>15646</v>
      </c>
      <c r="X9" s="31">
        <v>16429</v>
      </c>
      <c r="Y9" s="30">
        <v>16597</v>
      </c>
      <c r="Z9" s="31">
        <v>16518</v>
      </c>
      <c r="AA9" s="31">
        <v>16617</v>
      </c>
      <c r="AB9" s="31">
        <v>16866</v>
      </c>
      <c r="AC9" s="32">
        <v>17176</v>
      </c>
      <c r="AD9" s="32">
        <v>17375</v>
      </c>
      <c r="AE9" s="32">
        <v>17519</v>
      </c>
      <c r="AF9" s="31">
        <v>17642</v>
      </c>
      <c r="AG9" s="31">
        <v>17747</v>
      </c>
      <c r="AH9" s="32">
        <v>17850</v>
      </c>
      <c r="AI9" s="31">
        <v>17939</v>
      </c>
      <c r="AJ9" s="31">
        <v>18001</v>
      </c>
      <c r="AK9" s="30"/>
      <c r="AM9" s="30"/>
    </row>
    <row r="10" spans="1:48" x14ac:dyDescent="0.3">
      <c r="A10" s="31">
        <v>17962</v>
      </c>
      <c r="B10" s="31">
        <v>201603</v>
      </c>
      <c r="C10" s="32"/>
      <c r="D10" s="32">
        <v>1668</v>
      </c>
      <c r="E10" s="32">
        <v>4890</v>
      </c>
      <c r="F10" s="32">
        <v>5868</v>
      </c>
      <c r="G10" s="32">
        <v>6652</v>
      </c>
      <c r="H10" s="32">
        <v>7300</v>
      </c>
      <c r="I10" s="31">
        <v>7937</v>
      </c>
      <c r="J10">
        <v>8334</v>
      </c>
      <c r="K10" s="31">
        <v>8711</v>
      </c>
      <c r="L10">
        <v>9025</v>
      </c>
      <c r="M10" s="31">
        <v>9393</v>
      </c>
      <c r="N10" s="31">
        <v>9776</v>
      </c>
      <c r="O10">
        <v>10121</v>
      </c>
      <c r="P10">
        <v>10543</v>
      </c>
      <c r="Q10">
        <v>10909</v>
      </c>
      <c r="R10">
        <v>11326</v>
      </c>
      <c r="S10">
        <v>11806</v>
      </c>
      <c r="T10">
        <v>12349</v>
      </c>
      <c r="U10">
        <v>13010</v>
      </c>
      <c r="V10">
        <v>13760</v>
      </c>
      <c r="W10">
        <v>14509</v>
      </c>
      <c r="X10">
        <v>15115</v>
      </c>
      <c r="Y10">
        <v>15852</v>
      </c>
      <c r="Z10">
        <v>16089</v>
      </c>
      <c r="AA10">
        <v>16264</v>
      </c>
      <c r="AB10">
        <v>16426</v>
      </c>
      <c r="AC10">
        <v>16562</v>
      </c>
      <c r="AD10">
        <v>16881</v>
      </c>
      <c r="AE10">
        <v>17225</v>
      </c>
      <c r="AF10">
        <v>17363</v>
      </c>
      <c r="AG10">
        <v>17493</v>
      </c>
      <c r="AH10">
        <v>17589</v>
      </c>
      <c r="AI10">
        <v>17718</v>
      </c>
      <c r="AJ10">
        <v>17784</v>
      </c>
      <c r="AK10" s="30"/>
      <c r="AM10" s="30"/>
    </row>
    <row r="11" spans="1:48" x14ac:dyDescent="0.3">
      <c r="A11" s="31">
        <v>17267</v>
      </c>
      <c r="B11" s="31">
        <v>201703</v>
      </c>
      <c r="C11" s="32"/>
      <c r="D11">
        <v>1288</v>
      </c>
      <c r="E11">
        <v>4141</v>
      </c>
      <c r="F11">
        <v>5146</v>
      </c>
      <c r="G11">
        <v>5983</v>
      </c>
      <c r="H11">
        <v>6599</v>
      </c>
      <c r="I11">
        <v>7228</v>
      </c>
      <c r="J11">
        <v>7709</v>
      </c>
      <c r="K11">
        <v>8143</v>
      </c>
      <c r="L11">
        <v>8479</v>
      </c>
      <c r="M11">
        <v>8799</v>
      </c>
      <c r="N11">
        <v>9190</v>
      </c>
      <c r="O11">
        <v>9572</v>
      </c>
      <c r="P11">
        <v>9929</v>
      </c>
      <c r="Q11">
        <v>10244</v>
      </c>
      <c r="R11">
        <v>10585</v>
      </c>
      <c r="S11">
        <v>11072</v>
      </c>
      <c r="T11">
        <v>11599</v>
      </c>
      <c r="U11">
        <v>12148</v>
      </c>
      <c r="V11">
        <v>12825</v>
      </c>
      <c r="W11">
        <v>13527</v>
      </c>
      <c r="X11">
        <v>14356</v>
      </c>
      <c r="Y11">
        <v>15184</v>
      </c>
      <c r="Z11">
        <v>15416</v>
      </c>
      <c r="AA11">
        <v>15566</v>
      </c>
      <c r="AB11">
        <v>15818</v>
      </c>
      <c r="AC11">
        <v>16010</v>
      </c>
      <c r="AD11">
        <v>16190</v>
      </c>
      <c r="AE11">
        <v>16413</v>
      </c>
      <c r="AF11">
        <v>16509</v>
      </c>
      <c r="AG11">
        <v>16668</v>
      </c>
      <c r="AH11">
        <v>16915</v>
      </c>
      <c r="AI11">
        <v>17020</v>
      </c>
      <c r="AJ11">
        <v>17107</v>
      </c>
      <c r="AK11" s="30"/>
      <c r="AM11" s="30"/>
    </row>
    <row r="12" spans="1:48" s="57" customFormat="1" x14ac:dyDescent="0.3">
      <c r="A12" s="57">
        <v>16530</v>
      </c>
      <c r="B12" s="58">
        <v>201803</v>
      </c>
      <c r="D12">
        <v>1111</v>
      </c>
      <c r="E12">
        <v>3459</v>
      </c>
      <c r="F12">
        <v>4382</v>
      </c>
      <c r="G12">
        <v>5173</v>
      </c>
      <c r="H12" s="57">
        <v>5764</v>
      </c>
      <c r="I12">
        <v>6425</v>
      </c>
      <c r="J12">
        <v>6999</v>
      </c>
      <c r="K12">
        <v>7392</v>
      </c>
      <c r="L12">
        <v>7763</v>
      </c>
      <c r="M12">
        <v>8167</v>
      </c>
      <c r="N12">
        <v>8510</v>
      </c>
      <c r="O12">
        <v>8829</v>
      </c>
      <c r="P12">
        <v>9192</v>
      </c>
      <c r="Q12" s="57">
        <v>9538</v>
      </c>
      <c r="R12">
        <v>9795</v>
      </c>
      <c r="S12">
        <v>10210</v>
      </c>
      <c r="T12">
        <v>10715</v>
      </c>
      <c r="U12">
        <v>11362</v>
      </c>
      <c r="V12">
        <v>11965</v>
      </c>
      <c r="W12">
        <v>12649</v>
      </c>
      <c r="X12">
        <v>13369</v>
      </c>
      <c r="Y12">
        <v>14206</v>
      </c>
      <c r="Z12">
        <v>14458</v>
      </c>
      <c r="AA12">
        <v>14575</v>
      </c>
      <c r="AB12">
        <v>14728</v>
      </c>
      <c r="AC12">
        <v>14897</v>
      </c>
      <c r="AD12">
        <v>15238</v>
      </c>
      <c r="AE12">
        <v>15503</v>
      </c>
      <c r="AF12">
        <v>15788</v>
      </c>
      <c r="AG12">
        <v>15877</v>
      </c>
      <c r="AH12">
        <v>15982</v>
      </c>
      <c r="AI12">
        <v>16149</v>
      </c>
      <c r="AJ12">
        <v>16266</v>
      </c>
    </row>
    <row r="13" spans="1:48" s="57" customFormat="1" x14ac:dyDescent="0.3">
      <c r="A13" s="57">
        <v>14989</v>
      </c>
      <c r="B13" s="58">
        <v>201903</v>
      </c>
      <c r="D13">
        <v>1128</v>
      </c>
      <c r="E13">
        <v>3139</v>
      </c>
      <c r="F13">
        <v>3893</v>
      </c>
      <c r="G13">
        <v>4786</v>
      </c>
      <c r="H13">
        <v>5379</v>
      </c>
      <c r="I13">
        <v>5938</v>
      </c>
      <c r="J13">
        <v>6394</v>
      </c>
      <c r="K13">
        <v>6765</v>
      </c>
      <c r="L13">
        <v>7046</v>
      </c>
      <c r="M13">
        <v>7378</v>
      </c>
      <c r="N13">
        <v>7656</v>
      </c>
      <c r="O13">
        <v>7931</v>
      </c>
      <c r="P13">
        <v>8219</v>
      </c>
      <c r="Q13">
        <v>8511</v>
      </c>
      <c r="R13">
        <v>8733</v>
      </c>
      <c r="S13">
        <v>9148</v>
      </c>
      <c r="T13">
        <v>9589</v>
      </c>
      <c r="U13">
        <v>10003</v>
      </c>
      <c r="V13">
        <v>10442</v>
      </c>
      <c r="W13">
        <v>11021</v>
      </c>
      <c r="X13">
        <v>11710</v>
      </c>
      <c r="Y13">
        <v>12387</v>
      </c>
      <c r="Z13">
        <v>12583</v>
      </c>
      <c r="AA13">
        <v>12583</v>
      </c>
      <c r="AB13">
        <v>12820</v>
      </c>
      <c r="AC13">
        <v>13102</v>
      </c>
      <c r="AD13">
        <v>13521</v>
      </c>
      <c r="AE13">
        <v>13762</v>
      </c>
      <c r="AF13">
        <v>13978</v>
      </c>
      <c r="AG13">
        <v>14166</v>
      </c>
      <c r="AH13">
        <v>14377</v>
      </c>
      <c r="AI13">
        <v>14452</v>
      </c>
      <c r="AJ13">
        <v>14576</v>
      </c>
    </row>
    <row r="14" spans="1:48" s="57" customFormat="1" x14ac:dyDescent="0.3">
      <c r="A14" s="57">
        <v>13143</v>
      </c>
      <c r="B14" s="58">
        <v>202003</v>
      </c>
      <c r="D14"/>
      <c r="E14"/>
      <c r="F14" s="61"/>
      <c r="G14" s="61"/>
      <c r="H14">
        <v>3588</v>
      </c>
      <c r="I14">
        <v>4115</v>
      </c>
      <c r="J14">
        <v>4734</v>
      </c>
      <c r="K14">
        <v>5208</v>
      </c>
      <c r="L14">
        <v>5538</v>
      </c>
      <c r="M14">
        <v>5807</v>
      </c>
      <c r="N14">
        <v>6026</v>
      </c>
      <c r="O14">
        <v>6253</v>
      </c>
      <c r="P14">
        <v>6520</v>
      </c>
      <c r="Q14">
        <v>6842</v>
      </c>
      <c r="R14">
        <v>7084</v>
      </c>
      <c r="S14">
        <v>7424</v>
      </c>
      <c r="T14">
        <v>7860</v>
      </c>
      <c r="U14">
        <v>8365</v>
      </c>
      <c r="V14">
        <v>8935</v>
      </c>
      <c r="W14">
        <v>9679</v>
      </c>
      <c r="X14">
        <v>10389</v>
      </c>
      <c r="Y14">
        <v>11244</v>
      </c>
      <c r="Z14">
        <v>11456</v>
      </c>
      <c r="AA14">
        <v>11516</v>
      </c>
      <c r="AB14">
        <v>11688</v>
      </c>
      <c r="AC14">
        <v>11884</v>
      </c>
      <c r="AD14">
        <v>12125</v>
      </c>
      <c r="AE14">
        <v>12189</v>
      </c>
      <c r="AF14">
        <v>12298</v>
      </c>
      <c r="AG14">
        <v>12376</v>
      </c>
      <c r="AH14">
        <v>12548</v>
      </c>
      <c r="AI14">
        <v>12754</v>
      </c>
      <c r="AJ14">
        <v>12838</v>
      </c>
    </row>
    <row r="15" spans="1:48" s="57" customFormat="1" x14ac:dyDescent="0.3">
      <c r="B15" s="58">
        <v>202103</v>
      </c>
      <c r="D15"/>
      <c r="E15">
        <v>637</v>
      </c>
      <c r="F15" s="61">
        <v>2142</v>
      </c>
      <c r="G15">
        <v>2817</v>
      </c>
      <c r="H15">
        <v>3342</v>
      </c>
      <c r="I15">
        <v>3800</v>
      </c>
      <c r="J15">
        <v>4170</v>
      </c>
      <c r="K15">
        <v>4589</v>
      </c>
      <c r="L15">
        <v>4921</v>
      </c>
      <c r="M15">
        <v>5165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48" x14ac:dyDescent="0.3">
      <c r="B16" s="56" t="s">
        <v>90</v>
      </c>
      <c r="C16" s="35"/>
      <c r="D16" s="35">
        <v>44284</v>
      </c>
      <c r="E16" s="35">
        <v>44291</v>
      </c>
      <c r="F16" s="35">
        <v>44298</v>
      </c>
      <c r="G16" s="35">
        <v>44305</v>
      </c>
      <c r="H16" s="35">
        <v>44312</v>
      </c>
      <c r="I16" s="35">
        <v>44319</v>
      </c>
      <c r="J16" s="35">
        <v>44326</v>
      </c>
      <c r="K16" s="35">
        <v>44333</v>
      </c>
      <c r="L16" s="35">
        <v>44340</v>
      </c>
      <c r="M16" s="35">
        <v>44347</v>
      </c>
      <c r="N16" s="35">
        <v>44354</v>
      </c>
      <c r="O16" s="35">
        <v>44361</v>
      </c>
      <c r="P16" s="35">
        <v>44368</v>
      </c>
      <c r="Q16" s="35">
        <v>44375</v>
      </c>
      <c r="R16" s="35">
        <v>44382</v>
      </c>
      <c r="S16" s="35">
        <v>44389</v>
      </c>
      <c r="T16" s="35">
        <v>44396</v>
      </c>
      <c r="U16" s="35">
        <v>44403</v>
      </c>
      <c r="V16" s="35">
        <v>44410</v>
      </c>
      <c r="W16" s="35">
        <v>44417</v>
      </c>
      <c r="X16" s="35">
        <v>44424</v>
      </c>
      <c r="Y16" s="35">
        <v>44431</v>
      </c>
      <c r="Z16" s="35">
        <v>44438</v>
      </c>
      <c r="AA16" s="35">
        <v>44445</v>
      </c>
      <c r="AB16" s="35">
        <v>44452</v>
      </c>
      <c r="AC16" s="35">
        <v>44459</v>
      </c>
      <c r="AD16" s="35">
        <v>44466</v>
      </c>
      <c r="AE16" s="35">
        <v>44473</v>
      </c>
      <c r="AF16" s="35">
        <v>44480</v>
      </c>
      <c r="AG16" s="35">
        <v>44487</v>
      </c>
      <c r="AH16" s="35">
        <v>44494</v>
      </c>
      <c r="AI16" s="35">
        <v>44501</v>
      </c>
      <c r="AJ16" s="35">
        <v>44508</v>
      </c>
      <c r="AK16" s="35">
        <v>44515</v>
      </c>
      <c r="AL16" s="35">
        <v>44522</v>
      </c>
      <c r="AM16" s="35">
        <v>44529</v>
      </c>
      <c r="AN16" s="35">
        <v>44536</v>
      </c>
      <c r="AO16" s="35">
        <v>44543</v>
      </c>
      <c r="AP16" s="35">
        <v>44550</v>
      </c>
      <c r="AQ16" s="35">
        <v>44557</v>
      </c>
      <c r="AR16" s="35">
        <v>44564</v>
      </c>
      <c r="AS16" s="35">
        <v>44571</v>
      </c>
      <c r="AT16" s="35">
        <v>44578</v>
      </c>
      <c r="AU16" s="35">
        <v>44585</v>
      </c>
      <c r="AV16" s="35"/>
    </row>
    <row r="17" spans="2:48" x14ac:dyDescent="0.3">
      <c r="B17" s="6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9" spans="2:48" x14ac:dyDescent="0.3">
      <c r="E19" t="s">
        <v>91</v>
      </c>
      <c r="F19"/>
      <c r="G19"/>
      <c r="H19"/>
      <c r="I19"/>
      <c r="J19"/>
      <c r="K19"/>
      <c r="L19"/>
      <c r="M19"/>
    </row>
    <row r="20" spans="2:48" ht="15" thickBot="1" x14ac:dyDescent="0.35">
      <c r="E20"/>
      <c r="F20"/>
      <c r="G20"/>
      <c r="H20"/>
      <c r="I20"/>
      <c r="J20"/>
      <c r="K20"/>
      <c r="L20"/>
      <c r="M20"/>
    </row>
    <row r="21" spans="2:48" x14ac:dyDescent="0.3">
      <c r="E21" s="27" t="s">
        <v>92</v>
      </c>
      <c r="F21" s="27"/>
      <c r="G21"/>
      <c r="H21"/>
      <c r="I21"/>
      <c r="J21"/>
      <c r="K21"/>
      <c r="L21"/>
      <c r="M21"/>
    </row>
    <row r="22" spans="2:48" x14ac:dyDescent="0.3">
      <c r="E22" s="24" t="s">
        <v>93</v>
      </c>
      <c r="F22" s="24">
        <v>0.91962696363689833</v>
      </c>
      <c r="G22"/>
      <c r="H22"/>
      <c r="I22"/>
      <c r="J22"/>
      <c r="K22"/>
      <c r="L22"/>
      <c r="M22"/>
    </row>
    <row r="23" spans="2:48" x14ac:dyDescent="0.3">
      <c r="E23" s="24" t="s">
        <v>94</v>
      </c>
      <c r="F23" s="24">
        <v>0.84571375224802114</v>
      </c>
      <c r="G23"/>
      <c r="H23"/>
      <c r="I23"/>
      <c r="J23"/>
      <c r="K23"/>
      <c r="L23"/>
      <c r="M23"/>
    </row>
    <row r="24" spans="2:48" x14ac:dyDescent="0.3">
      <c r="E24" s="24" t="s">
        <v>95</v>
      </c>
      <c r="F24" s="24">
        <v>0.83168772972511396</v>
      </c>
      <c r="G24"/>
      <c r="H24"/>
      <c r="I24"/>
      <c r="J24"/>
      <c r="K24"/>
      <c r="L24"/>
      <c r="M24"/>
    </row>
    <row r="25" spans="2:48" x14ac:dyDescent="0.3">
      <c r="E25" s="24" t="s">
        <v>96</v>
      </c>
      <c r="F25" s="24">
        <v>942.09711488394385</v>
      </c>
      <c r="G25"/>
      <c r="H25"/>
      <c r="I25"/>
      <c r="J25"/>
      <c r="K25"/>
      <c r="L25"/>
      <c r="M25"/>
    </row>
    <row r="26" spans="2:48" ht="15" thickBot="1" x14ac:dyDescent="0.35">
      <c r="E26" s="25" t="s">
        <v>97</v>
      </c>
      <c r="F26" s="25">
        <v>13</v>
      </c>
      <c r="G26"/>
      <c r="H26"/>
      <c r="I26"/>
      <c r="J26"/>
      <c r="K26"/>
      <c r="L26"/>
      <c r="M26"/>
    </row>
    <row r="27" spans="2:48" x14ac:dyDescent="0.3">
      <c r="E27"/>
      <c r="F27"/>
      <c r="G27"/>
      <c r="H27"/>
      <c r="I27"/>
      <c r="J27"/>
      <c r="K27"/>
      <c r="L27"/>
      <c r="M27"/>
    </row>
    <row r="28" spans="2:48" ht="15" thickBot="1" x14ac:dyDescent="0.35">
      <c r="E28" t="s">
        <v>98</v>
      </c>
      <c r="F28"/>
      <c r="G28"/>
      <c r="H28"/>
      <c r="I28"/>
      <c r="J28"/>
      <c r="K28"/>
      <c r="L28"/>
      <c r="M28"/>
    </row>
    <row r="29" spans="2:48" x14ac:dyDescent="0.3">
      <c r="E29" s="26"/>
      <c r="F29" s="26" t="s">
        <v>99</v>
      </c>
      <c r="G29" s="26" t="s">
        <v>100</v>
      </c>
      <c r="H29" s="26" t="s">
        <v>101</v>
      </c>
      <c r="I29" s="26" t="s">
        <v>102</v>
      </c>
      <c r="J29" s="26" t="s">
        <v>103</v>
      </c>
      <c r="K29"/>
      <c r="L29"/>
      <c r="M29"/>
    </row>
    <row r="30" spans="2:48" x14ac:dyDescent="0.3">
      <c r="E30" s="24" t="s">
        <v>104</v>
      </c>
      <c r="F30" s="24">
        <v>1</v>
      </c>
      <c r="G30" s="24">
        <v>53515576.518170081</v>
      </c>
      <c r="H30" s="24">
        <v>53515576.518170081</v>
      </c>
      <c r="I30" s="24">
        <v>60.296049779387488</v>
      </c>
      <c r="J30" s="24">
        <v>8.6626591403889504E-6</v>
      </c>
      <c r="K30"/>
      <c r="L30"/>
      <c r="M30"/>
    </row>
    <row r="31" spans="2:48" x14ac:dyDescent="0.3">
      <c r="E31" s="24" t="s">
        <v>105</v>
      </c>
      <c r="F31" s="24">
        <v>11</v>
      </c>
      <c r="G31" s="24">
        <v>9763016.7125991601</v>
      </c>
      <c r="H31" s="24">
        <v>887546.97387265088</v>
      </c>
      <c r="I31" s="24"/>
      <c r="J31" s="24"/>
      <c r="K31"/>
      <c r="L31"/>
      <c r="M31"/>
    </row>
    <row r="32" spans="2:48" ht="15" thickBot="1" x14ac:dyDescent="0.35">
      <c r="E32" s="25" t="s">
        <v>106</v>
      </c>
      <c r="F32" s="25">
        <v>12</v>
      </c>
      <c r="G32" s="25">
        <v>63278593.230769239</v>
      </c>
      <c r="H32" s="25"/>
      <c r="I32" s="25"/>
      <c r="J32" s="25"/>
      <c r="K32"/>
      <c r="L32"/>
      <c r="M32"/>
    </row>
    <row r="33" spans="1:13" ht="15" thickBot="1" x14ac:dyDescent="0.35">
      <c r="E33"/>
      <c r="F33"/>
      <c r="G33"/>
      <c r="H33"/>
      <c r="I33"/>
      <c r="J33"/>
      <c r="K33"/>
      <c r="L33"/>
      <c r="M33"/>
    </row>
    <row r="34" spans="1:13" x14ac:dyDescent="0.3">
      <c r="E34" s="26"/>
      <c r="F34" s="26" t="s">
        <v>107</v>
      </c>
      <c r="G34" s="26" t="s">
        <v>96</v>
      </c>
      <c r="H34" s="26" t="s">
        <v>108</v>
      </c>
      <c r="I34" s="26" t="s">
        <v>109</v>
      </c>
      <c r="J34" s="26" t="s">
        <v>110</v>
      </c>
      <c r="K34" s="26" t="s">
        <v>111</v>
      </c>
      <c r="L34" s="26" t="s">
        <v>112</v>
      </c>
      <c r="M34" s="26" t="s">
        <v>113</v>
      </c>
    </row>
    <row r="35" spans="1:13" x14ac:dyDescent="0.3">
      <c r="E35" s="24" t="s">
        <v>114</v>
      </c>
      <c r="F35" s="24">
        <v>7317.7499030385807</v>
      </c>
      <c r="G35" s="24">
        <v>1434.0041956134353</v>
      </c>
      <c r="H35" s="24">
        <v>5.1030184747180662</v>
      </c>
      <c r="I35" s="24">
        <v>3.4242838494466553E-4</v>
      </c>
      <c r="J35" s="24">
        <v>4161.5279489842633</v>
      </c>
      <c r="K35" s="24">
        <v>10473.971857092898</v>
      </c>
      <c r="L35" s="24">
        <v>4161.5279489842633</v>
      </c>
      <c r="M35" s="24">
        <v>10473.971857092898</v>
      </c>
    </row>
    <row r="36" spans="1:13" ht="15" thickBot="1" x14ac:dyDescent="0.35">
      <c r="E36" s="25" t="s">
        <v>59</v>
      </c>
      <c r="F36" s="25">
        <v>1.119799625985386</v>
      </c>
      <c r="G36" s="25">
        <v>0.1442101696310481</v>
      </c>
      <c r="H36" s="25">
        <v>7.765053108600573</v>
      </c>
      <c r="I36" s="25">
        <v>8.6626591403889979E-6</v>
      </c>
      <c r="J36" s="25">
        <v>0.80239518269315124</v>
      </c>
      <c r="K36" s="25">
        <v>1.4372040692776207</v>
      </c>
      <c r="L36" s="25">
        <v>0.80239518269315124</v>
      </c>
      <c r="M36" s="25">
        <v>1.4372040692776207</v>
      </c>
    </row>
    <row r="37" spans="1:13" x14ac:dyDescent="0.3">
      <c r="E37"/>
      <c r="F37"/>
      <c r="G37"/>
      <c r="H37"/>
      <c r="I37"/>
      <c r="J37"/>
      <c r="K37"/>
      <c r="L37"/>
      <c r="M37"/>
    </row>
    <row r="38" spans="1:13" x14ac:dyDescent="0.3">
      <c r="A38" s="31" t="str">
        <f>CONCATENATE("Regression equation is: ", F35, " + ", E36, " * ", F36)</f>
        <v>Regression equation is: 7317.74990303858 + week 11 * 1.11979962598539</v>
      </c>
      <c r="B38" s="36"/>
      <c r="E38"/>
      <c r="F38"/>
      <c r="G38"/>
      <c r="H38"/>
      <c r="I38"/>
      <c r="J38"/>
      <c r="K38"/>
      <c r="L38"/>
      <c r="M38"/>
    </row>
    <row r="39" spans="1:13" x14ac:dyDescent="0.3">
      <c r="B39" s="36"/>
      <c r="E39"/>
      <c r="F39"/>
      <c r="G39"/>
      <c r="H39"/>
      <c r="I39"/>
      <c r="J39"/>
      <c r="K39"/>
      <c r="L39"/>
      <c r="M39"/>
    </row>
    <row r="40" spans="1:13" x14ac:dyDescent="0.3">
      <c r="B40" s="36"/>
      <c r="E40" s="28" t="s">
        <v>119</v>
      </c>
      <c r="F40" s="32">
        <f>AVERAGE(M2:M14)</f>
        <v>9777.3846153846152</v>
      </c>
      <c r="H40" s="37" t="s">
        <v>121</v>
      </c>
      <c r="I40" s="33">
        <v>0.9</v>
      </c>
      <c r="J40" s="37" t="s">
        <v>122</v>
      </c>
      <c r="K40" s="38">
        <f>1-I40</f>
        <v>9.9999999999999978E-2</v>
      </c>
    </row>
    <row r="41" spans="1:13" x14ac:dyDescent="0.3">
      <c r="B41" s="36"/>
      <c r="E41" s="28" t="s">
        <v>120</v>
      </c>
      <c r="F41" s="31">
        <f>STDEV(M2:M14)</f>
        <v>1885.8587583406827</v>
      </c>
    </row>
    <row r="42" spans="1:13" x14ac:dyDescent="0.3">
      <c r="B42" s="36"/>
      <c r="E42" s="28"/>
    </row>
    <row r="43" spans="1:13" x14ac:dyDescent="0.3">
      <c r="B43" s="36"/>
      <c r="E43" s="29" t="s">
        <v>132</v>
      </c>
      <c r="F43" s="39" t="s">
        <v>123</v>
      </c>
      <c r="G43" s="39" t="s">
        <v>124</v>
      </c>
      <c r="H43" s="39" t="s">
        <v>125</v>
      </c>
      <c r="I43" s="39" t="s">
        <v>126</v>
      </c>
      <c r="J43" s="39" t="s">
        <v>127</v>
      </c>
      <c r="K43" s="39" t="s">
        <v>128</v>
      </c>
    </row>
    <row r="44" spans="1:13" x14ac:dyDescent="0.3">
      <c r="B44" s="36"/>
      <c r="E44">
        <v>5165</v>
      </c>
      <c r="F44" s="40">
        <f>TINV(K40, F31)</f>
        <v>1.7958848187040437</v>
      </c>
      <c r="G44" s="40">
        <f>F25*SQRT(1+1/F26+(E44-F40)^2/F41^2/F32)</f>
        <v>1182.4753792418142</v>
      </c>
      <c r="H44" s="40">
        <f>F44*G44</f>
        <v>2123.5895820716805</v>
      </c>
      <c r="I44" s="34">
        <f>J44-H44</f>
        <v>10977.925389181419</v>
      </c>
      <c r="J44" s="34">
        <f>F35+E44*F36</f>
        <v>13101.514971253098</v>
      </c>
      <c r="K44" s="34">
        <f>J44+H44</f>
        <v>15225.104553324778</v>
      </c>
    </row>
  </sheetData>
  <pageMargins left="0.7" right="0.7" top="0.75" bottom="0.75" header="0.3" footer="0.3"/>
  <pageSetup orientation="portrait" verticalDpi="60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70" zoomScaleNormal="70" zoomScalePageLayoutView="80" workbookViewId="0">
      <pane xSplit="15" topLeftCell="P1" activePane="topRight" state="frozen"/>
      <selection pane="topRight" activeCell="E19" sqref="E19:M39"/>
    </sheetView>
  </sheetViews>
  <sheetFormatPr defaultColWidth="8.77734375" defaultRowHeight="14.4" x14ac:dyDescent="0.3"/>
  <cols>
    <col min="1" max="1" width="7.109375" style="12" bestFit="1" customWidth="1"/>
    <col min="2" max="2" width="9.44140625" style="12" bestFit="1" customWidth="1"/>
    <col min="3" max="4" width="10.109375" style="12" customWidth="1"/>
    <col min="5" max="5" width="18.109375" style="12" bestFit="1" customWidth="1"/>
    <col min="6" max="6" width="12.77734375" style="12" bestFit="1" customWidth="1"/>
    <col min="7" max="7" width="14.44140625" style="12" bestFit="1" customWidth="1"/>
    <col min="8" max="9" width="12.109375" style="12" bestFit="1" customWidth="1"/>
    <col min="10" max="10" width="13.44140625" style="12" bestFit="1" customWidth="1"/>
    <col min="11" max="11" width="12.109375" style="12" bestFit="1" customWidth="1"/>
    <col min="12" max="12" width="12.77734375" style="12" bestFit="1" customWidth="1"/>
    <col min="13" max="13" width="12.44140625" style="12" bestFit="1" customWidth="1"/>
    <col min="14" max="16" width="9.77734375" style="12" bestFit="1" customWidth="1"/>
    <col min="17" max="20" width="9.109375" style="12" bestFit="1" customWidth="1"/>
    <col min="21" max="25" width="10" style="12" bestFit="1" customWidth="1"/>
    <col min="26" max="29" width="9.77734375" style="12" bestFit="1" customWidth="1"/>
    <col min="30" max="30" width="10" style="12" bestFit="1" customWidth="1"/>
    <col min="31" max="31" width="11.109375" style="12" customWidth="1"/>
    <col min="32" max="32" width="11" style="12" customWidth="1"/>
    <col min="33" max="33" width="9.77734375" style="12" bestFit="1" customWidth="1"/>
    <col min="34" max="38" width="10.109375" style="12" bestFit="1" customWidth="1"/>
    <col min="39" max="42" width="10" style="12" bestFit="1" customWidth="1"/>
    <col min="43" max="47" width="9.77734375" style="12" bestFit="1" customWidth="1"/>
    <col min="48" max="48" width="11.44140625" style="12" customWidth="1"/>
    <col min="49" max="16384" width="8.77734375" style="12"/>
  </cols>
  <sheetData>
    <row r="1" spans="1:48" s="41" customFormat="1" x14ac:dyDescent="0.3">
      <c r="A1" s="41" t="s">
        <v>47</v>
      </c>
      <c r="B1" s="41" t="s">
        <v>48</v>
      </c>
      <c r="C1" s="41" t="s">
        <v>49</v>
      </c>
      <c r="D1" s="41" t="s">
        <v>50</v>
      </c>
      <c r="E1" s="41" t="s">
        <v>51</v>
      </c>
      <c r="F1" s="41" t="s">
        <v>52</v>
      </c>
      <c r="G1" s="41" t="s">
        <v>53</v>
      </c>
      <c r="H1" s="41" t="s">
        <v>54</v>
      </c>
      <c r="I1" s="41" t="s">
        <v>55</v>
      </c>
      <c r="J1" s="41" t="s">
        <v>56</v>
      </c>
      <c r="K1" s="41" t="s">
        <v>57</v>
      </c>
      <c r="L1" s="41" t="s">
        <v>58</v>
      </c>
      <c r="M1" s="41" t="s">
        <v>59</v>
      </c>
      <c r="N1" s="41" t="s">
        <v>60</v>
      </c>
      <c r="O1" s="41" t="s">
        <v>61</v>
      </c>
      <c r="P1" s="41" t="s">
        <v>62</v>
      </c>
      <c r="Q1" s="41" t="s">
        <v>63</v>
      </c>
      <c r="R1" s="41" t="s">
        <v>64</v>
      </c>
      <c r="S1" s="41" t="s">
        <v>65</v>
      </c>
      <c r="T1" s="41" t="s">
        <v>66</v>
      </c>
      <c r="U1" s="41" t="s">
        <v>67</v>
      </c>
      <c r="V1" s="41" t="s">
        <v>68</v>
      </c>
      <c r="W1" s="41" t="s">
        <v>69</v>
      </c>
      <c r="X1" s="41" t="s">
        <v>70</v>
      </c>
      <c r="Y1" s="41" t="s">
        <v>71</v>
      </c>
      <c r="Z1" s="41" t="s">
        <v>72</v>
      </c>
      <c r="AA1" s="41" t="s">
        <v>73</v>
      </c>
      <c r="AB1" s="41" t="s">
        <v>74</v>
      </c>
      <c r="AC1" s="41" t="s">
        <v>75</v>
      </c>
      <c r="AD1" s="41" t="s">
        <v>76</v>
      </c>
      <c r="AE1" s="41" t="s">
        <v>77</v>
      </c>
      <c r="AF1" s="41" t="s">
        <v>78</v>
      </c>
      <c r="AG1" s="41" t="s">
        <v>79</v>
      </c>
      <c r="AH1" s="41" t="s">
        <v>80</v>
      </c>
      <c r="AI1" s="41" t="s">
        <v>81</v>
      </c>
      <c r="AJ1" s="41" t="s">
        <v>82</v>
      </c>
      <c r="AK1" s="41" t="s">
        <v>83</v>
      </c>
      <c r="AL1" s="41" t="s">
        <v>84</v>
      </c>
      <c r="AM1" s="41" t="s">
        <v>85</v>
      </c>
      <c r="AN1" s="41" t="s">
        <v>86</v>
      </c>
      <c r="AO1" s="41" t="s">
        <v>87</v>
      </c>
      <c r="AP1" s="41" t="s">
        <v>88</v>
      </c>
      <c r="AQ1" s="41" t="s">
        <v>89</v>
      </c>
      <c r="AR1" s="41" t="s">
        <v>115</v>
      </c>
    </row>
    <row r="2" spans="1:48" s="41" customFormat="1" x14ac:dyDescent="0.3">
      <c r="A2" s="42">
        <v>9828</v>
      </c>
      <c r="B2" s="41">
        <v>200803</v>
      </c>
      <c r="C2" s="42">
        <v>182</v>
      </c>
      <c r="D2" s="42">
        <v>848</v>
      </c>
      <c r="E2" s="42">
        <v>1304</v>
      </c>
      <c r="F2" s="42">
        <v>1684</v>
      </c>
      <c r="G2" s="42">
        <v>2034</v>
      </c>
      <c r="H2" s="42">
        <v>2287</v>
      </c>
      <c r="I2" s="42">
        <v>2425</v>
      </c>
      <c r="J2" s="42">
        <v>2558</v>
      </c>
      <c r="K2" s="42">
        <v>2686</v>
      </c>
      <c r="L2" s="42">
        <v>2795</v>
      </c>
      <c r="M2" s="42">
        <v>2927</v>
      </c>
      <c r="N2" s="42">
        <v>3046</v>
      </c>
      <c r="O2" s="42">
        <v>3157</v>
      </c>
      <c r="P2" s="42">
        <v>3332</v>
      </c>
      <c r="Q2" s="42">
        <v>3514</v>
      </c>
      <c r="R2" s="42">
        <v>3813</v>
      </c>
      <c r="S2" s="42">
        <v>4262</v>
      </c>
      <c r="T2" s="42">
        <v>4746</v>
      </c>
      <c r="U2" s="42">
        <v>5368</v>
      </c>
      <c r="V2" s="42">
        <v>6345</v>
      </c>
      <c r="W2" s="42">
        <v>7131</v>
      </c>
      <c r="X2" s="42">
        <v>7884</v>
      </c>
      <c r="Y2" s="42">
        <v>8146</v>
      </c>
      <c r="Z2" s="42">
        <v>8454</v>
      </c>
      <c r="AA2" s="42">
        <v>8681</v>
      </c>
      <c r="AB2" s="42">
        <v>8789</v>
      </c>
      <c r="AC2" s="42">
        <v>8843</v>
      </c>
      <c r="AD2" s="42">
        <v>9005</v>
      </c>
      <c r="AE2" s="42">
        <v>9092</v>
      </c>
      <c r="AF2" s="42">
        <v>9139</v>
      </c>
      <c r="AG2" s="42">
        <v>9265</v>
      </c>
      <c r="AH2" s="42">
        <v>9358</v>
      </c>
      <c r="AI2" s="42">
        <v>9427</v>
      </c>
      <c r="AJ2" s="42">
        <v>9457</v>
      </c>
      <c r="AK2" s="42">
        <v>9507</v>
      </c>
      <c r="AL2" s="42">
        <v>9544</v>
      </c>
      <c r="AM2" s="42">
        <v>9589</v>
      </c>
      <c r="AN2" s="42">
        <v>9613</v>
      </c>
      <c r="AO2" s="42">
        <v>9644</v>
      </c>
      <c r="AP2" s="42">
        <v>9676</v>
      </c>
      <c r="AQ2" s="42">
        <v>9708.9</v>
      </c>
      <c r="AR2" s="42"/>
    </row>
    <row r="3" spans="1:48" s="41" customFormat="1" x14ac:dyDescent="0.3">
      <c r="A3" s="42">
        <v>10446</v>
      </c>
      <c r="B3" s="41">
        <v>200903</v>
      </c>
      <c r="C3" s="42">
        <v>290</v>
      </c>
      <c r="D3" s="42">
        <v>1053</v>
      </c>
      <c r="E3" s="42">
        <v>1478</v>
      </c>
      <c r="F3" s="42">
        <v>1797</v>
      </c>
      <c r="G3" s="42">
        <v>2078</v>
      </c>
      <c r="H3" s="42">
        <v>2363</v>
      </c>
      <c r="I3" s="42">
        <v>2579</v>
      </c>
      <c r="J3" s="42">
        <v>2723</v>
      </c>
      <c r="K3" s="42">
        <v>2850</v>
      </c>
      <c r="L3" s="42">
        <v>2994</v>
      </c>
      <c r="M3" s="42">
        <v>3119</v>
      </c>
      <c r="N3" s="42">
        <v>3255</v>
      </c>
      <c r="O3" s="42">
        <v>3388</v>
      </c>
      <c r="P3" s="42">
        <v>3488</v>
      </c>
      <c r="Q3" s="42">
        <v>3669</v>
      </c>
      <c r="R3" s="42">
        <v>3864</v>
      </c>
      <c r="S3" s="42">
        <v>4153</v>
      </c>
      <c r="T3" s="42">
        <v>4613</v>
      </c>
      <c r="U3" s="42">
        <v>5184</v>
      </c>
      <c r="V3" s="42">
        <v>5809</v>
      </c>
      <c r="W3" s="42">
        <v>6695</v>
      </c>
      <c r="X3" s="42">
        <v>7628</v>
      </c>
      <c r="Y3" s="42">
        <v>8457</v>
      </c>
      <c r="Z3" s="42">
        <v>8918</v>
      </c>
      <c r="AA3" s="42">
        <v>9069</v>
      </c>
      <c r="AB3" s="42">
        <v>9166</v>
      </c>
      <c r="AC3" s="42">
        <v>9219</v>
      </c>
      <c r="AD3" s="42">
        <v>9370</v>
      </c>
      <c r="AE3" s="42">
        <v>9446</v>
      </c>
      <c r="AF3" s="42">
        <v>9549</v>
      </c>
      <c r="AG3" s="42">
        <v>9619</v>
      </c>
      <c r="AH3" s="42">
        <v>9699</v>
      </c>
      <c r="AI3" s="42">
        <v>9891</v>
      </c>
      <c r="AJ3" s="42">
        <v>9930</v>
      </c>
      <c r="AK3" s="42">
        <v>9952</v>
      </c>
      <c r="AL3" s="42">
        <v>10078</v>
      </c>
      <c r="AM3" s="42">
        <v>10287</v>
      </c>
      <c r="AN3" s="42">
        <v>10407</v>
      </c>
      <c r="AO3" s="42">
        <v>10410</v>
      </c>
      <c r="AP3" s="42">
        <v>10410</v>
      </c>
      <c r="AQ3" s="42">
        <v>10436</v>
      </c>
      <c r="AR3" s="42">
        <v>10447</v>
      </c>
      <c r="AS3" s="42"/>
    </row>
    <row r="4" spans="1:48" s="41" customFormat="1" x14ac:dyDescent="0.3">
      <c r="A4" s="42">
        <v>11034</v>
      </c>
      <c r="B4" s="41">
        <v>201003</v>
      </c>
      <c r="C4" s="42">
        <v>408</v>
      </c>
      <c r="D4" s="42">
        <v>1170</v>
      </c>
      <c r="E4" s="42">
        <v>1648</v>
      </c>
      <c r="F4" s="42">
        <v>1941</v>
      </c>
      <c r="G4" s="42">
        <v>2218</v>
      </c>
      <c r="H4" s="42">
        <v>2551</v>
      </c>
      <c r="I4" s="42">
        <v>2850</v>
      </c>
      <c r="J4" s="42">
        <v>3073</v>
      </c>
      <c r="K4" s="42">
        <v>3205</v>
      </c>
      <c r="L4" s="42">
        <v>3369</v>
      </c>
      <c r="M4" s="42">
        <v>3513</v>
      </c>
      <c r="N4" s="42">
        <v>3641</v>
      </c>
      <c r="O4" s="42">
        <v>3813</v>
      </c>
      <c r="P4" s="42">
        <v>3947</v>
      </c>
      <c r="Q4" s="42">
        <v>4076</v>
      </c>
      <c r="R4" s="42">
        <v>4319</v>
      </c>
      <c r="S4" s="42">
        <v>4641</v>
      </c>
      <c r="T4" s="42">
        <v>5020</v>
      </c>
      <c r="U4" s="42">
        <v>5472</v>
      </c>
      <c r="V4" s="42">
        <v>6129</v>
      </c>
      <c r="W4" s="42">
        <v>6903</v>
      </c>
      <c r="X4" s="42">
        <v>7890</v>
      </c>
      <c r="Y4" s="42">
        <v>8774</v>
      </c>
      <c r="Z4" s="42">
        <v>9289</v>
      </c>
      <c r="AA4" s="42">
        <v>9626</v>
      </c>
      <c r="AB4" s="42">
        <v>9897</v>
      </c>
      <c r="AC4" s="42">
        <v>9970</v>
      </c>
      <c r="AD4" s="42">
        <v>10089</v>
      </c>
      <c r="AE4" s="42">
        <v>10228</v>
      </c>
      <c r="AF4" s="42">
        <v>10287</v>
      </c>
      <c r="AG4" s="42">
        <v>10416</v>
      </c>
      <c r="AH4" s="42">
        <v>10566</v>
      </c>
      <c r="AI4" s="42">
        <v>10644</v>
      </c>
      <c r="AJ4" s="42">
        <v>10713</v>
      </c>
      <c r="AK4" s="42"/>
      <c r="AO4" s="42">
        <f>AVERAGE(AO3, AO5)</f>
        <v>10771.5</v>
      </c>
      <c r="AP4" s="42">
        <f>AVERAGE(AP3, AP5)</f>
        <v>10773</v>
      </c>
      <c r="AQ4" s="42">
        <f>AVERAGE(AQ3, AQ5)</f>
        <v>10787</v>
      </c>
    </row>
    <row r="5" spans="1:48" s="41" customFormat="1" x14ac:dyDescent="0.3">
      <c r="A5" s="42">
        <v>11149</v>
      </c>
      <c r="B5" s="41">
        <v>201103</v>
      </c>
      <c r="C5" s="42">
        <v>402</v>
      </c>
      <c r="D5" s="42">
        <v>1295</v>
      </c>
      <c r="E5" s="42">
        <v>1867</v>
      </c>
      <c r="F5" s="42">
        <v>2284</v>
      </c>
      <c r="G5" s="42">
        <v>2673</v>
      </c>
      <c r="H5" s="42">
        <v>3043</v>
      </c>
      <c r="I5" s="42">
        <v>3417</v>
      </c>
      <c r="J5" s="42">
        <v>3652</v>
      </c>
      <c r="K5" s="42">
        <v>3804</v>
      </c>
      <c r="L5" s="42">
        <v>3982</v>
      </c>
      <c r="M5" s="42">
        <v>4160</v>
      </c>
      <c r="N5" s="42">
        <v>4354</v>
      </c>
      <c r="O5" s="42">
        <v>4546</v>
      </c>
      <c r="P5" s="42">
        <v>4711</v>
      </c>
      <c r="Q5" s="42">
        <v>4887</v>
      </c>
      <c r="R5" s="42">
        <v>5175</v>
      </c>
      <c r="S5" s="42">
        <v>5404</v>
      </c>
      <c r="T5" s="42">
        <v>5755</v>
      </c>
      <c r="U5" s="42">
        <v>6242</v>
      </c>
      <c r="V5" s="42">
        <v>6820</v>
      </c>
      <c r="W5" s="42">
        <v>7561</v>
      </c>
      <c r="X5" s="42">
        <v>8409</v>
      </c>
      <c r="Y5" s="42">
        <v>9107</v>
      </c>
      <c r="Z5" s="42">
        <v>9582</v>
      </c>
      <c r="AA5" s="42">
        <v>9685</v>
      </c>
      <c r="AB5" s="42">
        <v>9887</v>
      </c>
      <c r="AC5" s="42">
        <v>10062</v>
      </c>
      <c r="AD5" s="42">
        <v>10143</v>
      </c>
      <c r="AE5" s="42">
        <v>10173</v>
      </c>
      <c r="AF5" s="42">
        <v>10315</v>
      </c>
      <c r="AG5" s="42">
        <v>10469</v>
      </c>
      <c r="AH5" s="42">
        <v>10574</v>
      </c>
      <c r="AI5" s="42">
        <v>10703</v>
      </c>
      <c r="AJ5" s="42">
        <v>10791</v>
      </c>
      <c r="AK5" s="42">
        <v>10915</v>
      </c>
      <c r="AL5" s="42">
        <v>10984</v>
      </c>
      <c r="AM5" s="42">
        <v>11030</v>
      </c>
      <c r="AN5" s="42">
        <v>11119</v>
      </c>
      <c r="AO5" s="42">
        <v>11133</v>
      </c>
      <c r="AP5" s="42">
        <v>11136</v>
      </c>
      <c r="AQ5" s="42">
        <v>11138</v>
      </c>
      <c r="AR5" s="42">
        <v>11149</v>
      </c>
      <c r="AS5" s="42">
        <v>11176</v>
      </c>
      <c r="AT5" s="42">
        <v>11177</v>
      </c>
      <c r="AU5" s="42">
        <v>11188</v>
      </c>
      <c r="AV5" s="42">
        <v>11196</v>
      </c>
    </row>
    <row r="6" spans="1:48" s="41" customFormat="1" x14ac:dyDescent="0.3">
      <c r="A6" s="42">
        <v>10799</v>
      </c>
      <c r="B6" s="41">
        <v>201203</v>
      </c>
      <c r="C6" s="42">
        <v>658</v>
      </c>
      <c r="D6" s="42">
        <v>1595</v>
      </c>
      <c r="E6" s="42">
        <v>2133</v>
      </c>
      <c r="F6" s="42">
        <v>2541</v>
      </c>
      <c r="G6" s="42">
        <v>2856</v>
      </c>
      <c r="H6" s="42">
        <v>3169</v>
      </c>
      <c r="I6" s="42">
        <v>3507</v>
      </c>
      <c r="J6" s="42">
        <v>3762</v>
      </c>
      <c r="K6" s="42">
        <v>3930</v>
      </c>
      <c r="L6" s="42">
        <v>4129</v>
      </c>
      <c r="M6" s="42">
        <v>4369</v>
      </c>
      <c r="N6" s="42">
        <v>4546</v>
      </c>
      <c r="O6" s="42">
        <v>4720</v>
      </c>
      <c r="P6" s="42">
        <v>4871</v>
      </c>
      <c r="Q6" s="42">
        <v>4988</v>
      </c>
      <c r="R6" s="42">
        <v>5221</v>
      </c>
      <c r="S6" s="42">
        <v>5506</v>
      </c>
      <c r="T6" s="42">
        <v>5825</v>
      </c>
      <c r="U6" s="42">
        <v>6236</v>
      </c>
      <c r="V6" s="42">
        <v>6743</v>
      </c>
      <c r="W6" s="42">
        <v>7244</v>
      </c>
      <c r="X6" s="42">
        <v>7977</v>
      </c>
      <c r="Y6" s="42">
        <v>8712</v>
      </c>
      <c r="Z6" s="42">
        <v>8981</v>
      </c>
      <c r="AA6" s="42">
        <v>8988</v>
      </c>
      <c r="AB6" s="42">
        <v>9418</v>
      </c>
      <c r="AC6" s="42">
        <v>9570</v>
      </c>
      <c r="AD6" s="42">
        <v>9679</v>
      </c>
      <c r="AE6" s="42">
        <v>9799</v>
      </c>
      <c r="AF6" s="42">
        <v>9899</v>
      </c>
      <c r="AG6" s="42">
        <v>9988</v>
      </c>
      <c r="AH6" s="42">
        <v>10104</v>
      </c>
      <c r="AI6" s="42">
        <v>10163</v>
      </c>
      <c r="AJ6" s="42">
        <v>10218</v>
      </c>
      <c r="AK6" s="42">
        <v>10261</v>
      </c>
      <c r="AL6" s="42">
        <v>10321</v>
      </c>
      <c r="AM6" s="42">
        <v>10443</v>
      </c>
      <c r="AN6" s="42">
        <v>10587</v>
      </c>
      <c r="AO6" s="42">
        <v>10709</v>
      </c>
      <c r="AP6" s="42">
        <v>10709</v>
      </c>
      <c r="AQ6" s="42">
        <v>10761</v>
      </c>
      <c r="AR6" s="42">
        <v>10798</v>
      </c>
      <c r="AS6" s="42"/>
    </row>
    <row r="7" spans="1:48" s="41" customFormat="1" x14ac:dyDescent="0.3">
      <c r="A7" s="41">
        <v>10214</v>
      </c>
      <c r="B7" s="41">
        <v>201303</v>
      </c>
      <c r="C7" s="42">
        <v>756</v>
      </c>
      <c r="D7" s="42">
        <v>1660</v>
      </c>
      <c r="E7" s="42">
        <v>2115</v>
      </c>
      <c r="F7" s="42">
        <v>2464</v>
      </c>
      <c r="G7" s="42">
        <v>2824</v>
      </c>
      <c r="H7" s="42">
        <v>3137</v>
      </c>
      <c r="I7" s="41">
        <v>3505</v>
      </c>
      <c r="J7" s="41">
        <v>3767</v>
      </c>
      <c r="K7" s="41">
        <v>3915</v>
      </c>
      <c r="L7" s="41">
        <v>4105</v>
      </c>
      <c r="M7" s="41">
        <v>4246</v>
      </c>
      <c r="N7" s="41">
        <v>4372</v>
      </c>
      <c r="O7" s="30">
        <v>4526</v>
      </c>
      <c r="P7" s="41">
        <v>4664</v>
      </c>
      <c r="Q7" s="30">
        <v>4780</v>
      </c>
      <c r="R7" s="41">
        <v>4977</v>
      </c>
      <c r="S7" s="41">
        <v>5256</v>
      </c>
      <c r="T7" s="41">
        <v>5541</v>
      </c>
      <c r="U7" s="41">
        <v>5895</v>
      </c>
      <c r="V7" s="30">
        <v>6236</v>
      </c>
      <c r="W7" s="41">
        <v>6743</v>
      </c>
      <c r="X7" s="41">
        <v>7602</v>
      </c>
      <c r="Y7" s="30">
        <v>8248</v>
      </c>
      <c r="Z7" s="41">
        <v>8989</v>
      </c>
      <c r="AA7" s="41">
        <v>9261</v>
      </c>
      <c r="AB7" s="41">
        <v>9101</v>
      </c>
      <c r="AC7" s="42">
        <v>9289</v>
      </c>
      <c r="AD7" s="42">
        <v>9380</v>
      </c>
      <c r="AE7" s="42">
        <v>9441</v>
      </c>
      <c r="AF7" s="41">
        <v>9545</v>
      </c>
      <c r="AG7" s="41">
        <v>9608</v>
      </c>
      <c r="AH7" s="42">
        <v>9772</v>
      </c>
      <c r="AI7" s="41">
        <v>9855</v>
      </c>
      <c r="AJ7" s="41">
        <v>9893</v>
      </c>
      <c r="AK7" s="30">
        <v>9924</v>
      </c>
      <c r="AL7" s="41">
        <v>9948</v>
      </c>
      <c r="AM7" s="30">
        <v>10028</v>
      </c>
      <c r="AN7" s="41">
        <v>10143</v>
      </c>
      <c r="AO7" s="41">
        <v>10211</v>
      </c>
      <c r="AP7" s="41">
        <v>10153</v>
      </c>
      <c r="AQ7" s="41">
        <v>10157</v>
      </c>
    </row>
    <row r="8" spans="1:48" s="41" customFormat="1" x14ac:dyDescent="0.3">
      <c r="A8" s="41">
        <v>9992</v>
      </c>
      <c r="B8" s="41">
        <v>201403</v>
      </c>
      <c r="C8" s="42"/>
      <c r="D8" s="42">
        <v>783</v>
      </c>
      <c r="E8" s="42">
        <v>1668</v>
      </c>
      <c r="F8" s="42">
        <v>2151</v>
      </c>
      <c r="G8" s="42">
        <v>2547</v>
      </c>
      <c r="H8" s="42">
        <v>2873</v>
      </c>
      <c r="I8" s="41">
        <v>3179</v>
      </c>
      <c r="J8" s="42">
        <v>3410</v>
      </c>
      <c r="K8" s="41">
        <v>3577</v>
      </c>
      <c r="L8" s="41">
        <v>3749</v>
      </c>
      <c r="M8" s="41">
        <v>3949</v>
      </c>
      <c r="N8" s="41">
        <v>4089</v>
      </c>
      <c r="O8" s="30">
        <v>4262</v>
      </c>
      <c r="P8" s="41">
        <v>4436</v>
      </c>
      <c r="Q8" s="30">
        <v>4547</v>
      </c>
      <c r="R8" s="41">
        <v>4722</v>
      </c>
      <c r="S8" s="41">
        <v>4994</v>
      </c>
      <c r="T8" s="41">
        <v>5296</v>
      </c>
      <c r="U8" s="41">
        <v>5594</v>
      </c>
      <c r="V8" s="30">
        <v>5980</v>
      </c>
      <c r="W8" s="41">
        <v>6403</v>
      </c>
      <c r="X8" s="41">
        <v>7001</v>
      </c>
      <c r="Y8" s="30">
        <v>7705</v>
      </c>
      <c r="Z8" s="41">
        <v>8496</v>
      </c>
      <c r="AA8" s="41">
        <v>8742</v>
      </c>
      <c r="AB8" s="41">
        <v>8601</v>
      </c>
      <c r="AC8" s="42">
        <v>8741</v>
      </c>
      <c r="AD8" s="42">
        <v>8840</v>
      </c>
      <c r="AE8" s="42">
        <v>8949</v>
      </c>
      <c r="AF8" s="41">
        <v>9137</v>
      </c>
      <c r="AG8" s="41">
        <v>9267</v>
      </c>
      <c r="AH8" s="42">
        <v>9340</v>
      </c>
      <c r="AI8" s="41">
        <v>9432</v>
      </c>
      <c r="AJ8" s="41">
        <v>9515</v>
      </c>
      <c r="AK8" s="30"/>
      <c r="AM8" s="30"/>
    </row>
    <row r="9" spans="1:48" s="41" customFormat="1" x14ac:dyDescent="0.3">
      <c r="A9" s="41">
        <v>9870</v>
      </c>
      <c r="B9" s="41">
        <v>201503</v>
      </c>
      <c r="C9" s="42"/>
      <c r="D9" s="42">
        <v>785</v>
      </c>
      <c r="E9" s="42">
        <v>1621</v>
      </c>
      <c r="F9" s="42">
        <v>2104</v>
      </c>
      <c r="G9" s="42">
        <v>2531</v>
      </c>
      <c r="H9" s="42">
        <v>2838</v>
      </c>
      <c r="I9" s="41">
        <v>3290</v>
      </c>
      <c r="J9" s="42">
        <v>3523</v>
      </c>
      <c r="K9" s="41">
        <v>3698</v>
      </c>
      <c r="L9" s="41">
        <v>3876</v>
      </c>
      <c r="M9" s="41">
        <v>4071</v>
      </c>
      <c r="N9" s="41">
        <v>4251</v>
      </c>
      <c r="O9" s="30">
        <v>4394</v>
      </c>
      <c r="P9" s="41">
        <v>4555</v>
      </c>
      <c r="Q9" s="30">
        <v>4670</v>
      </c>
      <c r="R9" s="41">
        <v>4828</v>
      </c>
      <c r="S9" s="41">
        <v>5070</v>
      </c>
      <c r="T9" s="41">
        <v>5303</v>
      </c>
      <c r="U9" s="41">
        <v>5650</v>
      </c>
      <c r="V9" s="30">
        <v>6012</v>
      </c>
      <c r="W9" s="41">
        <v>6472</v>
      </c>
      <c r="X9" s="41">
        <v>7138</v>
      </c>
      <c r="Y9" s="30">
        <v>7833</v>
      </c>
      <c r="Z9" s="41">
        <v>8322</v>
      </c>
      <c r="AA9" s="41">
        <v>8686</v>
      </c>
      <c r="AB9" s="41">
        <v>8634</v>
      </c>
      <c r="AC9" s="42">
        <v>8797</v>
      </c>
      <c r="AD9" s="42">
        <v>8927</v>
      </c>
      <c r="AE9" s="42">
        <v>9089</v>
      </c>
      <c r="AF9" s="41">
        <v>9163</v>
      </c>
      <c r="AG9" s="46">
        <v>9259</v>
      </c>
      <c r="AH9" s="42">
        <v>9363</v>
      </c>
      <c r="AI9" s="52">
        <v>9396</v>
      </c>
      <c r="AJ9" s="41">
        <v>9468</v>
      </c>
      <c r="AK9" s="30"/>
      <c r="AM9" s="30"/>
    </row>
    <row r="10" spans="1:48" s="41" customFormat="1" x14ac:dyDescent="0.3">
      <c r="A10" s="41">
        <v>9330</v>
      </c>
      <c r="B10" s="41">
        <v>201603</v>
      </c>
      <c r="C10" s="42"/>
      <c r="D10" s="42">
        <v>706</v>
      </c>
      <c r="E10" s="42">
        <v>1554</v>
      </c>
      <c r="F10" s="42">
        <v>2071</v>
      </c>
      <c r="G10" s="42">
        <v>2465</v>
      </c>
      <c r="H10" s="42">
        <v>2852</v>
      </c>
      <c r="I10" s="41">
        <v>3205</v>
      </c>
      <c r="J10" s="42">
        <v>3493</v>
      </c>
      <c r="K10" s="41">
        <v>3708</v>
      </c>
      <c r="L10">
        <v>3834</v>
      </c>
      <c r="M10" s="41">
        <v>3980</v>
      </c>
      <c r="N10" s="41">
        <v>4155</v>
      </c>
      <c r="O10">
        <v>4272</v>
      </c>
      <c r="P10">
        <v>4452</v>
      </c>
      <c r="Q10">
        <v>4590</v>
      </c>
      <c r="R10">
        <v>4750</v>
      </c>
      <c r="S10">
        <v>5004</v>
      </c>
      <c r="T10">
        <v>5222</v>
      </c>
      <c r="U10">
        <v>5504</v>
      </c>
      <c r="V10">
        <v>5840</v>
      </c>
      <c r="W10">
        <v>6257</v>
      </c>
      <c r="X10">
        <v>6888</v>
      </c>
      <c r="Y10">
        <v>7769</v>
      </c>
      <c r="Z10">
        <v>8131</v>
      </c>
      <c r="AA10">
        <v>8222</v>
      </c>
      <c r="AB10">
        <v>8349</v>
      </c>
      <c r="AC10">
        <v>8530</v>
      </c>
      <c r="AD10">
        <v>8592</v>
      </c>
      <c r="AE10">
        <v>8687</v>
      </c>
      <c r="AF10">
        <v>8774</v>
      </c>
      <c r="AG10">
        <v>8811</v>
      </c>
      <c r="AH10">
        <v>8882</v>
      </c>
      <c r="AI10">
        <v>8944</v>
      </c>
      <c r="AJ10">
        <v>9086</v>
      </c>
      <c r="AK10" s="30"/>
      <c r="AM10" s="30"/>
    </row>
    <row r="11" spans="1:48" s="41" customFormat="1" x14ac:dyDescent="0.3">
      <c r="A11" s="41">
        <v>8720</v>
      </c>
      <c r="B11" s="41">
        <v>201703</v>
      </c>
      <c r="C11" s="42"/>
      <c r="D11">
        <v>614</v>
      </c>
      <c r="E11">
        <v>1481</v>
      </c>
      <c r="F11">
        <v>1958</v>
      </c>
      <c r="G11">
        <v>2377</v>
      </c>
      <c r="H11">
        <v>2723</v>
      </c>
      <c r="I11">
        <v>3014</v>
      </c>
      <c r="J11">
        <v>3309</v>
      </c>
      <c r="K11">
        <v>3510</v>
      </c>
      <c r="L11">
        <v>3668</v>
      </c>
      <c r="M11">
        <v>3816</v>
      </c>
      <c r="N11">
        <v>3955</v>
      </c>
      <c r="O11">
        <v>4091</v>
      </c>
      <c r="P11">
        <v>4233</v>
      </c>
      <c r="Q11">
        <v>4345</v>
      </c>
      <c r="R11">
        <v>4500</v>
      </c>
      <c r="S11">
        <v>4725</v>
      </c>
      <c r="T11">
        <v>4975</v>
      </c>
      <c r="U11">
        <v>5275</v>
      </c>
      <c r="V11">
        <v>5616</v>
      </c>
      <c r="W11">
        <v>5975</v>
      </c>
      <c r="X11">
        <v>6617</v>
      </c>
      <c r="Y11">
        <v>7405</v>
      </c>
      <c r="Z11">
        <v>7733</v>
      </c>
      <c r="AA11">
        <v>7767</v>
      </c>
      <c r="AB11">
        <v>7735</v>
      </c>
      <c r="AC11">
        <v>7848</v>
      </c>
      <c r="AD11">
        <v>7944</v>
      </c>
      <c r="AE11">
        <v>8032</v>
      </c>
      <c r="AF11">
        <v>8155</v>
      </c>
      <c r="AG11">
        <v>8218</v>
      </c>
      <c r="AH11">
        <v>8266</v>
      </c>
      <c r="AI11">
        <v>8299</v>
      </c>
      <c r="AJ11">
        <v>8391</v>
      </c>
      <c r="AK11" s="30"/>
      <c r="AM11" s="30"/>
    </row>
    <row r="12" spans="1:48" s="57" customFormat="1" x14ac:dyDescent="0.3">
      <c r="A12" s="57">
        <v>8336</v>
      </c>
      <c r="B12" s="58">
        <v>201803</v>
      </c>
      <c r="D12">
        <v>628</v>
      </c>
      <c r="E12">
        <v>1294</v>
      </c>
      <c r="F12">
        <v>1699</v>
      </c>
      <c r="G12">
        <v>2156</v>
      </c>
      <c r="H12" s="57">
        <v>2479</v>
      </c>
      <c r="I12">
        <v>2786</v>
      </c>
      <c r="J12">
        <v>3089</v>
      </c>
      <c r="K12">
        <v>3311</v>
      </c>
      <c r="L12">
        <v>3482</v>
      </c>
      <c r="M12">
        <v>3625</v>
      </c>
      <c r="N12">
        <v>3767</v>
      </c>
      <c r="O12">
        <v>3946</v>
      </c>
      <c r="P12">
        <v>4099</v>
      </c>
      <c r="Q12" s="57">
        <v>4236</v>
      </c>
      <c r="R12">
        <v>4350</v>
      </c>
      <c r="S12">
        <v>4569</v>
      </c>
      <c r="T12">
        <v>4751</v>
      </c>
      <c r="U12">
        <v>4995</v>
      </c>
      <c r="V12">
        <v>5363</v>
      </c>
      <c r="W12">
        <v>5767</v>
      </c>
      <c r="X12">
        <v>6329</v>
      </c>
      <c r="Y12">
        <v>7025</v>
      </c>
      <c r="Z12">
        <v>7464</v>
      </c>
      <c r="AA12">
        <v>7514</v>
      </c>
      <c r="AB12">
        <v>7479</v>
      </c>
      <c r="AC12">
        <v>7620</v>
      </c>
      <c r="AD12">
        <v>7705</v>
      </c>
      <c r="AE12">
        <v>7770</v>
      </c>
      <c r="AF12">
        <v>7831</v>
      </c>
      <c r="AG12">
        <v>7866</v>
      </c>
      <c r="AH12">
        <v>7937</v>
      </c>
      <c r="AI12">
        <v>8033</v>
      </c>
      <c r="AJ12">
        <v>8115</v>
      </c>
    </row>
    <row r="13" spans="1:48" s="57" customFormat="1" x14ac:dyDescent="0.3">
      <c r="A13" s="57">
        <v>8207</v>
      </c>
      <c r="B13" s="58">
        <v>201903</v>
      </c>
      <c r="D13">
        <v>488</v>
      </c>
      <c r="E13">
        <v>1129</v>
      </c>
      <c r="F13">
        <v>1524</v>
      </c>
      <c r="G13">
        <v>1972</v>
      </c>
      <c r="H13">
        <v>2318</v>
      </c>
      <c r="I13">
        <v>2601</v>
      </c>
      <c r="J13">
        <v>2843</v>
      </c>
      <c r="K13">
        <v>3079</v>
      </c>
      <c r="L13">
        <v>3201</v>
      </c>
      <c r="M13">
        <v>3336</v>
      </c>
      <c r="N13">
        <v>3484</v>
      </c>
      <c r="O13">
        <v>3633</v>
      </c>
      <c r="P13">
        <v>3798</v>
      </c>
      <c r="Q13">
        <v>3998</v>
      </c>
      <c r="R13">
        <v>4126</v>
      </c>
      <c r="S13">
        <v>4311</v>
      </c>
      <c r="T13">
        <v>4563</v>
      </c>
      <c r="U13">
        <v>4826</v>
      </c>
      <c r="V13">
        <v>5126</v>
      </c>
      <c r="W13">
        <v>5532</v>
      </c>
      <c r="X13">
        <v>6115</v>
      </c>
      <c r="Y13">
        <v>6780</v>
      </c>
      <c r="Z13">
        <v>7092</v>
      </c>
      <c r="AA13">
        <v>7296</v>
      </c>
      <c r="AB13">
        <v>7260</v>
      </c>
      <c r="AC13">
        <v>7339</v>
      </c>
      <c r="AD13">
        <v>7406</v>
      </c>
      <c r="AE13">
        <v>7438</v>
      </c>
      <c r="AF13">
        <v>7492</v>
      </c>
      <c r="AG13">
        <v>7523</v>
      </c>
      <c r="AH13">
        <v>7611</v>
      </c>
      <c r="AI13">
        <v>7712</v>
      </c>
      <c r="AJ13">
        <v>7794</v>
      </c>
    </row>
    <row r="14" spans="1:48" s="57" customFormat="1" x14ac:dyDescent="0.3">
      <c r="A14" s="57">
        <v>7490</v>
      </c>
      <c r="B14" s="58">
        <v>202003</v>
      </c>
      <c r="D14"/>
      <c r="E14"/>
      <c r="F14"/>
      <c r="G14"/>
      <c r="H14">
        <v>1564</v>
      </c>
      <c r="I14">
        <v>1852</v>
      </c>
      <c r="J14">
        <v>2205</v>
      </c>
      <c r="K14">
        <v>2515</v>
      </c>
      <c r="L14">
        <v>2720</v>
      </c>
      <c r="M14">
        <v>2958</v>
      </c>
      <c r="N14">
        <v>3119</v>
      </c>
      <c r="O14">
        <v>3282</v>
      </c>
      <c r="P14">
        <v>3520</v>
      </c>
      <c r="Q14">
        <v>3732</v>
      </c>
      <c r="R14">
        <v>3885</v>
      </c>
      <c r="S14">
        <v>4086</v>
      </c>
      <c r="T14">
        <v>4331</v>
      </c>
      <c r="U14">
        <v>4546</v>
      </c>
      <c r="V14">
        <v>4874</v>
      </c>
      <c r="W14">
        <v>5301</v>
      </c>
      <c r="X14">
        <v>5713</v>
      </c>
      <c r="Y14">
        <v>6346</v>
      </c>
      <c r="Z14">
        <v>6780</v>
      </c>
      <c r="AA14">
        <v>6822</v>
      </c>
      <c r="AB14">
        <v>6732</v>
      </c>
      <c r="AC14">
        <v>6821</v>
      </c>
      <c r="AD14">
        <v>6929</v>
      </c>
      <c r="AE14">
        <v>6967</v>
      </c>
      <c r="AF14">
        <v>6996</v>
      </c>
      <c r="AG14">
        <v>7048</v>
      </c>
      <c r="AH14">
        <v>7117</v>
      </c>
      <c r="AI14">
        <v>7196</v>
      </c>
      <c r="AJ14">
        <v>7215</v>
      </c>
    </row>
    <row r="15" spans="1:48" s="57" customFormat="1" x14ac:dyDescent="0.3">
      <c r="B15" s="58">
        <v>202103</v>
      </c>
      <c r="D15"/>
      <c r="E15">
        <v>409</v>
      </c>
      <c r="F15">
        <v>977</v>
      </c>
      <c r="G15">
        <v>1315</v>
      </c>
      <c r="H15">
        <v>1684</v>
      </c>
      <c r="I15">
        <v>1993</v>
      </c>
      <c r="J15">
        <v>2278</v>
      </c>
      <c r="K15">
        <v>2517</v>
      </c>
      <c r="L15">
        <v>2745</v>
      </c>
      <c r="M15">
        <v>2925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48" s="31" customFormat="1" x14ac:dyDescent="0.3">
      <c r="B16" s="56" t="s">
        <v>90</v>
      </c>
      <c r="C16" s="35"/>
      <c r="D16" s="35">
        <v>44284</v>
      </c>
      <c r="E16" s="35">
        <v>44291</v>
      </c>
      <c r="F16" s="35">
        <v>44298</v>
      </c>
      <c r="G16" s="35">
        <v>44305</v>
      </c>
      <c r="H16" s="35">
        <v>44312</v>
      </c>
      <c r="I16" s="35">
        <v>44319</v>
      </c>
      <c r="J16" s="35">
        <v>44326</v>
      </c>
      <c r="K16" s="35">
        <v>44333</v>
      </c>
      <c r="L16" s="35">
        <v>44340</v>
      </c>
      <c r="M16" s="35">
        <v>44347</v>
      </c>
      <c r="N16" s="35">
        <v>44354</v>
      </c>
      <c r="O16" s="35">
        <v>44361</v>
      </c>
      <c r="P16" s="35">
        <v>44368</v>
      </c>
      <c r="Q16" s="35">
        <v>44375</v>
      </c>
      <c r="R16" s="35">
        <v>44382</v>
      </c>
      <c r="S16" s="35">
        <v>44389</v>
      </c>
      <c r="T16" s="35">
        <v>44396</v>
      </c>
      <c r="U16" s="35">
        <v>44403</v>
      </c>
      <c r="V16" s="35">
        <v>44410</v>
      </c>
      <c r="W16" s="35">
        <v>44417</v>
      </c>
      <c r="X16" s="35">
        <v>44424</v>
      </c>
      <c r="Y16" s="35">
        <v>44431</v>
      </c>
      <c r="Z16" s="35">
        <v>44438</v>
      </c>
      <c r="AA16" s="35">
        <v>44445</v>
      </c>
      <c r="AB16" s="35">
        <v>44452</v>
      </c>
      <c r="AC16" s="35">
        <v>44459</v>
      </c>
      <c r="AD16" s="35">
        <v>44466</v>
      </c>
      <c r="AE16" s="35">
        <v>44473</v>
      </c>
      <c r="AF16" s="35">
        <v>44480</v>
      </c>
      <c r="AG16" s="35">
        <v>44487</v>
      </c>
      <c r="AH16" s="35">
        <v>44494</v>
      </c>
      <c r="AI16" s="35">
        <v>44501</v>
      </c>
      <c r="AJ16" s="35">
        <v>44508</v>
      </c>
      <c r="AK16" s="35">
        <v>44515</v>
      </c>
      <c r="AL16" s="35">
        <v>44522</v>
      </c>
      <c r="AM16" s="35">
        <v>44529</v>
      </c>
      <c r="AN16" s="35">
        <v>44536</v>
      </c>
      <c r="AO16" s="35">
        <v>44543</v>
      </c>
      <c r="AP16" s="35">
        <v>44550</v>
      </c>
      <c r="AQ16" s="35">
        <v>44557</v>
      </c>
      <c r="AR16" s="35">
        <v>44564</v>
      </c>
      <c r="AS16" s="35">
        <v>44571</v>
      </c>
      <c r="AT16" s="35">
        <v>44578</v>
      </c>
      <c r="AU16" s="35">
        <v>44585</v>
      </c>
      <c r="AV16" s="35"/>
    </row>
    <row r="17" spans="3:48" s="41" customFormat="1" x14ac:dyDescent="0.3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3:48" x14ac:dyDescent="0.3">
      <c r="E18"/>
      <c r="F18"/>
      <c r="G18"/>
      <c r="H18"/>
      <c r="I18"/>
      <c r="J18"/>
      <c r="K18"/>
      <c r="L18"/>
      <c r="M18"/>
    </row>
    <row r="19" spans="3:48" x14ac:dyDescent="0.3">
      <c r="E19" t="s">
        <v>91</v>
      </c>
      <c r="F19"/>
      <c r="G19"/>
      <c r="H19"/>
      <c r="I19"/>
      <c r="J19"/>
      <c r="K19"/>
      <c r="L19"/>
      <c r="M19"/>
    </row>
    <row r="20" spans="3:48" ht="15" thickBot="1" x14ac:dyDescent="0.35">
      <c r="E20"/>
      <c r="F20"/>
      <c r="G20"/>
      <c r="H20"/>
      <c r="I20"/>
      <c r="J20"/>
      <c r="K20"/>
      <c r="L20"/>
      <c r="M20"/>
    </row>
    <row r="21" spans="3:48" x14ac:dyDescent="0.3">
      <c r="E21" s="27" t="s">
        <v>92</v>
      </c>
      <c r="F21" s="27"/>
      <c r="G21"/>
      <c r="H21"/>
      <c r="I21"/>
      <c r="J21"/>
      <c r="K21"/>
      <c r="L21"/>
      <c r="M21"/>
    </row>
    <row r="22" spans="3:48" x14ac:dyDescent="0.3">
      <c r="E22" s="24" t="s">
        <v>93</v>
      </c>
      <c r="F22" s="24">
        <v>0.45392061708478787</v>
      </c>
      <c r="G22"/>
      <c r="H22"/>
      <c r="I22"/>
      <c r="J22"/>
      <c r="K22"/>
      <c r="L22"/>
      <c r="M22"/>
    </row>
    <row r="23" spans="3:48" x14ac:dyDescent="0.3">
      <c r="E23" s="24" t="s">
        <v>94</v>
      </c>
      <c r="F23" s="24">
        <v>0.20604392661463464</v>
      </c>
      <c r="G23"/>
      <c r="H23"/>
      <c r="I23"/>
      <c r="J23"/>
      <c r="K23"/>
      <c r="L23"/>
      <c r="M23"/>
    </row>
    <row r="24" spans="3:48" x14ac:dyDescent="0.3">
      <c r="E24" s="24" t="s">
        <v>95</v>
      </c>
      <c r="F24" s="24">
        <v>0.13386610176141958</v>
      </c>
      <c r="G24"/>
      <c r="H24"/>
      <c r="I24"/>
      <c r="J24"/>
      <c r="K24"/>
      <c r="L24"/>
      <c r="M24"/>
    </row>
    <row r="25" spans="3:48" x14ac:dyDescent="0.3">
      <c r="E25" s="24" t="s">
        <v>96</v>
      </c>
      <c r="F25" s="24">
        <v>1077.088270514176</v>
      </c>
      <c r="G25"/>
      <c r="H25"/>
      <c r="I25"/>
      <c r="J25"/>
      <c r="K25"/>
      <c r="L25"/>
      <c r="M25"/>
    </row>
    <row r="26" spans="3:48" ht="15" thickBot="1" x14ac:dyDescent="0.35">
      <c r="E26" s="25" t="s">
        <v>97</v>
      </c>
      <c r="F26" s="25">
        <v>13</v>
      </c>
      <c r="G26"/>
      <c r="H26"/>
      <c r="I26"/>
      <c r="J26"/>
      <c r="K26"/>
      <c r="L26"/>
      <c r="M26"/>
    </row>
    <row r="27" spans="3:48" x14ac:dyDescent="0.3">
      <c r="E27"/>
      <c r="F27"/>
      <c r="G27"/>
      <c r="H27"/>
      <c r="I27"/>
      <c r="J27"/>
      <c r="K27"/>
      <c r="L27"/>
      <c r="M27"/>
    </row>
    <row r="28" spans="3:48" ht="15" thickBot="1" x14ac:dyDescent="0.35">
      <c r="E28" t="s">
        <v>98</v>
      </c>
      <c r="F28"/>
      <c r="G28"/>
      <c r="H28"/>
      <c r="I28"/>
      <c r="J28"/>
      <c r="K28"/>
      <c r="L28"/>
      <c r="M28"/>
    </row>
    <row r="29" spans="3:48" x14ac:dyDescent="0.3">
      <c r="E29" s="26"/>
      <c r="F29" s="26" t="s">
        <v>99</v>
      </c>
      <c r="G29" s="26" t="s">
        <v>100</v>
      </c>
      <c r="H29" s="26" t="s">
        <v>101</v>
      </c>
      <c r="I29" s="26" t="s">
        <v>102</v>
      </c>
      <c r="J29" s="26" t="s">
        <v>103</v>
      </c>
      <c r="K29"/>
      <c r="L29"/>
      <c r="M29"/>
    </row>
    <row r="30" spans="3:48" x14ac:dyDescent="0.3">
      <c r="E30" s="24" t="s">
        <v>104</v>
      </c>
      <c r="F30" s="24">
        <v>1</v>
      </c>
      <c r="G30" s="24">
        <v>3311758.2019593604</v>
      </c>
      <c r="H30" s="24">
        <v>3311758.2019593604</v>
      </c>
      <c r="I30" s="24">
        <v>2.8546707667300506</v>
      </c>
      <c r="J30" s="24">
        <v>0.11921729086609049</v>
      </c>
      <c r="K30"/>
      <c r="L30"/>
      <c r="M30"/>
    </row>
    <row r="31" spans="3:48" x14ac:dyDescent="0.3">
      <c r="E31" s="24" t="s">
        <v>105</v>
      </c>
      <c r="F31" s="24">
        <v>11</v>
      </c>
      <c r="G31" s="24">
        <v>12761310.567271408</v>
      </c>
      <c r="H31" s="24">
        <v>1160119.1424792188</v>
      </c>
      <c r="I31" s="24"/>
      <c r="J31" s="24"/>
      <c r="K31"/>
      <c r="L31"/>
      <c r="M31"/>
    </row>
    <row r="32" spans="3:48" ht="15" thickBot="1" x14ac:dyDescent="0.35">
      <c r="E32" s="25" t="s">
        <v>106</v>
      </c>
      <c r="F32" s="25">
        <v>12</v>
      </c>
      <c r="G32" s="25">
        <v>16073068.769230768</v>
      </c>
      <c r="H32" s="25"/>
      <c r="I32" s="25"/>
      <c r="J32" s="25"/>
      <c r="K32"/>
      <c r="L32"/>
      <c r="M32"/>
    </row>
    <row r="33" spans="1:13" ht="15" thickBot="1" x14ac:dyDescent="0.35">
      <c r="E33"/>
      <c r="F33"/>
      <c r="G33"/>
      <c r="H33"/>
      <c r="I33"/>
      <c r="J33"/>
      <c r="K33"/>
      <c r="L33"/>
      <c r="M33"/>
    </row>
    <row r="34" spans="1:13" x14ac:dyDescent="0.3">
      <c r="E34" s="26"/>
      <c r="F34" s="26" t="s">
        <v>107</v>
      </c>
      <c r="G34" s="26" t="s">
        <v>96</v>
      </c>
      <c r="H34" s="26" t="s">
        <v>108</v>
      </c>
      <c r="I34" s="26" t="s">
        <v>109</v>
      </c>
      <c r="J34" s="26" t="s">
        <v>110</v>
      </c>
      <c r="K34" s="26" t="s">
        <v>111</v>
      </c>
      <c r="L34" s="26" t="s">
        <v>112</v>
      </c>
      <c r="M34" s="26" t="s">
        <v>113</v>
      </c>
    </row>
    <row r="35" spans="1:13" x14ac:dyDescent="0.3">
      <c r="E35" s="24" t="s">
        <v>114</v>
      </c>
      <c r="F35" s="24">
        <v>5700.9605486561741</v>
      </c>
      <c r="G35" s="24">
        <v>2354.7271025464661</v>
      </c>
      <c r="H35" s="24">
        <v>2.4210705956078731</v>
      </c>
      <c r="I35" s="24">
        <v>3.3942457036398574E-2</v>
      </c>
      <c r="J35" s="24">
        <v>518.2411398858203</v>
      </c>
      <c r="K35" s="24">
        <v>10883.679957426528</v>
      </c>
      <c r="L35" s="24">
        <v>518.2411398858203</v>
      </c>
      <c r="M35" s="24">
        <v>10883.679957426528</v>
      </c>
    </row>
    <row r="36" spans="1:13" ht="15" thickBot="1" x14ac:dyDescent="0.35">
      <c r="E36" s="25" t="s">
        <v>59</v>
      </c>
      <c r="F36" s="25">
        <v>1.0672681534350563</v>
      </c>
      <c r="G36" s="25">
        <v>0.63167768746733755</v>
      </c>
      <c r="H36" s="25">
        <v>1.6895770970068371</v>
      </c>
      <c r="I36" s="25">
        <v>0.11921729086609054</v>
      </c>
      <c r="J36" s="25">
        <v>-0.32304506264155752</v>
      </c>
      <c r="K36" s="25">
        <v>2.4575813695116704</v>
      </c>
      <c r="L36" s="25">
        <v>-0.32304506264155752</v>
      </c>
      <c r="M36" s="25">
        <v>2.4575813695116704</v>
      </c>
    </row>
    <row r="37" spans="1:13" x14ac:dyDescent="0.3">
      <c r="E37"/>
      <c r="F37"/>
      <c r="G37"/>
      <c r="H37"/>
      <c r="I37"/>
      <c r="J37"/>
      <c r="K37"/>
      <c r="L37"/>
      <c r="M37"/>
    </row>
    <row r="38" spans="1:13" x14ac:dyDescent="0.3">
      <c r="A38" s="12" t="str">
        <f>CONCATENATE("Regression equation is: ", F35, " + ", E36, " * ", F36)</f>
        <v>Regression equation is: 5700.96054865617 + week 11 * 1.06726815343506</v>
      </c>
      <c r="B38" s="13"/>
      <c r="E38"/>
      <c r="F38"/>
      <c r="G38"/>
      <c r="H38"/>
      <c r="I38"/>
      <c r="J38"/>
      <c r="K38"/>
      <c r="L38"/>
      <c r="M38"/>
    </row>
    <row r="39" spans="1:13" x14ac:dyDescent="0.3">
      <c r="B39" s="13"/>
      <c r="E39"/>
      <c r="F39"/>
      <c r="G39"/>
      <c r="H39"/>
      <c r="I39"/>
      <c r="J39"/>
      <c r="K39"/>
      <c r="L39"/>
      <c r="M39"/>
    </row>
    <row r="40" spans="1:13" x14ac:dyDescent="0.3">
      <c r="B40" s="13"/>
      <c r="E40" s="28" t="s">
        <v>119</v>
      </c>
      <c r="F40" s="15">
        <f>AVERAGE(M2:M14)</f>
        <v>3697.6153846153848</v>
      </c>
      <c r="H40" s="18" t="s">
        <v>121</v>
      </c>
      <c r="I40" s="33">
        <v>0.9</v>
      </c>
      <c r="J40" s="18" t="s">
        <v>122</v>
      </c>
      <c r="K40" s="17">
        <f>1-I40</f>
        <v>9.9999999999999978E-2</v>
      </c>
    </row>
    <row r="41" spans="1:13" x14ac:dyDescent="0.3">
      <c r="B41" s="13"/>
      <c r="E41" s="28" t="s">
        <v>120</v>
      </c>
      <c r="F41" s="12">
        <f>STDEV(M2:M14)</f>
        <v>492.22666500667083</v>
      </c>
    </row>
    <row r="42" spans="1:13" x14ac:dyDescent="0.3">
      <c r="B42" s="13"/>
      <c r="E42" s="28"/>
    </row>
    <row r="43" spans="1:13" x14ac:dyDescent="0.3">
      <c r="B43" s="13"/>
      <c r="E43" s="29" t="s">
        <v>132</v>
      </c>
      <c r="F43" s="19" t="s">
        <v>123</v>
      </c>
      <c r="G43" s="19" t="s">
        <v>124</v>
      </c>
      <c r="H43" s="19" t="s">
        <v>125</v>
      </c>
      <c r="I43" s="19" t="s">
        <v>126</v>
      </c>
      <c r="J43" s="19" t="s">
        <v>127</v>
      </c>
      <c r="K43" s="19" t="s">
        <v>128</v>
      </c>
    </row>
    <row r="44" spans="1:13" x14ac:dyDescent="0.3">
      <c r="B44" s="13"/>
      <c r="E44">
        <v>2925</v>
      </c>
      <c r="F44" s="16">
        <f>TINV(K40, F31)</f>
        <v>1.7958848187040437</v>
      </c>
      <c r="G44" s="16">
        <f>F25*SQRT(1+1/F26+(E44-F40)^2/F41^2/F32)</f>
        <v>1219.6499187520351</v>
      </c>
      <c r="H44" s="16">
        <f>F44*G44</f>
        <v>2190.3507732204002</v>
      </c>
      <c r="I44" s="34">
        <f>J44-H44</f>
        <v>6632.3691242333134</v>
      </c>
      <c r="J44" s="34">
        <f>F35+E44*F36</f>
        <v>8822.7198974537132</v>
      </c>
      <c r="K44" s="34">
        <f>J44+H44</f>
        <v>11013.070670674113</v>
      </c>
    </row>
  </sheetData>
  <pageMargins left="0.7" right="0.7" top="0.75" bottom="0.75" header="0.3" footer="0.3"/>
  <pageSetup orientation="portrait" verticalDpi="60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70" zoomScaleNormal="70" zoomScalePageLayoutView="80" workbookViewId="0">
      <pane xSplit="15" topLeftCell="P1" activePane="topRight" state="frozen"/>
      <selection pane="topRight" activeCell="E19" sqref="E19:M39"/>
    </sheetView>
  </sheetViews>
  <sheetFormatPr defaultColWidth="8.77734375" defaultRowHeight="14.4" x14ac:dyDescent="0.3"/>
  <cols>
    <col min="1" max="1" width="7.109375" style="12" bestFit="1" customWidth="1"/>
    <col min="2" max="2" width="9.44140625" style="12" bestFit="1" customWidth="1"/>
    <col min="3" max="4" width="10.109375" style="12" customWidth="1"/>
    <col min="5" max="5" width="18.109375" style="12" bestFit="1" customWidth="1"/>
    <col min="6" max="6" width="12.77734375" style="12" bestFit="1" customWidth="1"/>
    <col min="7" max="7" width="14.44140625" style="12" bestFit="1" customWidth="1"/>
    <col min="8" max="9" width="12.109375" style="12" bestFit="1" customWidth="1"/>
    <col min="10" max="10" width="13.44140625" style="12" bestFit="1" customWidth="1"/>
    <col min="11" max="11" width="12.109375" style="12" bestFit="1" customWidth="1"/>
    <col min="12" max="12" width="12.77734375" style="12" bestFit="1" customWidth="1"/>
    <col min="13" max="13" width="12.44140625" style="12" bestFit="1" customWidth="1"/>
    <col min="14" max="16" width="9.77734375" style="12" bestFit="1" customWidth="1"/>
    <col min="17" max="20" width="9.109375" style="12" bestFit="1" customWidth="1"/>
    <col min="21" max="25" width="10" style="12" bestFit="1" customWidth="1"/>
    <col min="26" max="29" width="9.77734375" style="12" bestFit="1" customWidth="1"/>
    <col min="30" max="30" width="10" style="12" bestFit="1" customWidth="1"/>
    <col min="31" max="31" width="11.109375" style="12" customWidth="1"/>
    <col min="32" max="32" width="11" style="12" customWidth="1"/>
    <col min="33" max="33" width="9.77734375" style="12" bestFit="1" customWidth="1"/>
    <col min="34" max="38" width="10.109375" style="12" bestFit="1" customWidth="1"/>
    <col min="39" max="42" width="10" style="12" bestFit="1" customWidth="1"/>
    <col min="43" max="47" width="9.77734375" style="12" bestFit="1" customWidth="1"/>
    <col min="48" max="48" width="11.44140625" style="12" customWidth="1"/>
    <col min="49" max="16384" width="8.77734375" style="12"/>
  </cols>
  <sheetData>
    <row r="1" spans="1:48" s="41" customFormat="1" x14ac:dyDescent="0.3">
      <c r="A1" s="41" t="s">
        <v>47</v>
      </c>
      <c r="B1" s="41" t="s">
        <v>48</v>
      </c>
      <c r="C1" s="41" t="s">
        <v>49</v>
      </c>
      <c r="D1" s="41" t="s">
        <v>50</v>
      </c>
      <c r="E1" s="41" t="s">
        <v>51</v>
      </c>
      <c r="F1" s="41" t="s">
        <v>52</v>
      </c>
      <c r="G1" s="41" t="s">
        <v>53</v>
      </c>
      <c r="H1" s="41" t="s">
        <v>54</v>
      </c>
      <c r="I1" s="41" t="s">
        <v>55</v>
      </c>
      <c r="J1" s="41" t="s">
        <v>56</v>
      </c>
      <c r="K1" s="41" t="s">
        <v>57</v>
      </c>
      <c r="L1" s="41" t="s">
        <v>58</v>
      </c>
      <c r="M1" s="41" t="s">
        <v>59</v>
      </c>
      <c r="N1" s="41" t="s">
        <v>60</v>
      </c>
      <c r="O1" s="41" t="s">
        <v>61</v>
      </c>
      <c r="P1" s="41" t="s">
        <v>62</v>
      </c>
      <c r="Q1" s="41" t="s">
        <v>63</v>
      </c>
      <c r="R1" s="41" t="s">
        <v>64</v>
      </c>
      <c r="S1" s="41" t="s">
        <v>65</v>
      </c>
      <c r="T1" s="41" t="s">
        <v>66</v>
      </c>
      <c r="U1" s="41" t="s">
        <v>67</v>
      </c>
      <c r="V1" s="41" t="s">
        <v>68</v>
      </c>
      <c r="W1" s="41" t="s">
        <v>69</v>
      </c>
      <c r="X1" s="41" t="s">
        <v>70</v>
      </c>
      <c r="Y1" s="41" t="s">
        <v>71</v>
      </c>
      <c r="Z1" s="41" t="s">
        <v>72</v>
      </c>
      <c r="AA1" s="41" t="s">
        <v>73</v>
      </c>
      <c r="AB1" s="41" t="s">
        <v>74</v>
      </c>
      <c r="AC1" s="41" t="s">
        <v>75</v>
      </c>
      <c r="AD1" s="41" t="s">
        <v>76</v>
      </c>
      <c r="AE1" s="41" t="s">
        <v>77</v>
      </c>
      <c r="AF1" s="41" t="s">
        <v>78</v>
      </c>
      <c r="AG1" s="41" t="s">
        <v>79</v>
      </c>
      <c r="AH1" s="41" t="s">
        <v>80</v>
      </c>
      <c r="AI1" s="41" t="s">
        <v>81</v>
      </c>
      <c r="AJ1" s="41" t="s">
        <v>82</v>
      </c>
      <c r="AK1" s="41" t="s">
        <v>83</v>
      </c>
      <c r="AL1" s="41" t="s">
        <v>84</v>
      </c>
      <c r="AM1" s="41" t="s">
        <v>85</v>
      </c>
      <c r="AN1" s="41" t="s">
        <v>86</v>
      </c>
      <c r="AO1" s="41" t="s">
        <v>87</v>
      </c>
      <c r="AP1" s="41" t="s">
        <v>88</v>
      </c>
      <c r="AQ1" s="41" t="s">
        <v>89</v>
      </c>
    </row>
    <row r="2" spans="1:48" s="41" customFormat="1" x14ac:dyDescent="0.3">
      <c r="A2" s="42">
        <v>3598</v>
      </c>
      <c r="B2" s="41">
        <v>200803</v>
      </c>
      <c r="C2" s="42">
        <v>133</v>
      </c>
      <c r="D2" s="42">
        <v>313</v>
      </c>
      <c r="E2" s="42">
        <v>425</v>
      </c>
      <c r="F2" s="42">
        <v>554</v>
      </c>
      <c r="G2" s="42">
        <v>646</v>
      </c>
      <c r="H2" s="42">
        <v>702</v>
      </c>
      <c r="I2" s="42">
        <v>755</v>
      </c>
      <c r="J2" s="42">
        <v>794</v>
      </c>
      <c r="K2" s="42">
        <v>838</v>
      </c>
      <c r="L2" s="42">
        <v>882</v>
      </c>
      <c r="M2" s="42">
        <v>936</v>
      </c>
      <c r="N2" s="42">
        <v>1002</v>
      </c>
      <c r="O2" s="42">
        <v>1051</v>
      </c>
      <c r="P2" s="42">
        <v>1080</v>
      </c>
      <c r="Q2" s="42">
        <v>1180</v>
      </c>
      <c r="R2" s="42">
        <v>1286</v>
      </c>
      <c r="S2" s="42">
        <v>1420</v>
      </c>
      <c r="T2" s="42">
        <v>1627</v>
      </c>
      <c r="U2" s="42">
        <v>1875</v>
      </c>
      <c r="V2" s="42">
        <v>2145</v>
      </c>
      <c r="W2" s="42">
        <v>2508</v>
      </c>
      <c r="X2" s="42">
        <v>2794</v>
      </c>
      <c r="Y2" s="42">
        <v>2885</v>
      </c>
      <c r="Z2" s="42">
        <v>2969</v>
      </c>
      <c r="AA2" s="42">
        <v>2937</v>
      </c>
      <c r="AB2" s="42">
        <v>2969</v>
      </c>
      <c r="AC2" s="42">
        <v>3061</v>
      </c>
      <c r="AD2" s="42">
        <v>3119</v>
      </c>
      <c r="AE2" s="42">
        <v>3179</v>
      </c>
      <c r="AF2" s="42">
        <v>3280</v>
      </c>
      <c r="AG2" s="42">
        <v>3358</v>
      </c>
      <c r="AH2" s="42">
        <v>3446</v>
      </c>
      <c r="AI2" s="42">
        <v>3507</v>
      </c>
      <c r="AJ2" s="42">
        <v>3512</v>
      </c>
      <c r="AK2" s="42">
        <v>3535</v>
      </c>
      <c r="AL2" s="42">
        <v>3564</v>
      </c>
      <c r="AM2" s="42">
        <v>3596</v>
      </c>
      <c r="AN2" s="42">
        <v>3605</v>
      </c>
      <c r="AO2" s="42">
        <v>3602</v>
      </c>
      <c r="AP2" s="42">
        <v>3602</v>
      </c>
      <c r="AQ2" s="42">
        <v>3600</v>
      </c>
      <c r="AR2" s="42"/>
    </row>
    <row r="3" spans="1:48" s="41" customFormat="1" x14ac:dyDescent="0.3">
      <c r="A3" s="42">
        <v>3834</v>
      </c>
      <c r="B3" s="41">
        <v>200903</v>
      </c>
      <c r="C3" s="42">
        <v>132</v>
      </c>
      <c r="D3" s="42">
        <v>408</v>
      </c>
      <c r="E3" s="42">
        <v>663</v>
      </c>
      <c r="F3" s="42">
        <v>867</v>
      </c>
      <c r="G3" s="42">
        <v>948</v>
      </c>
      <c r="H3" s="42">
        <v>1040</v>
      </c>
      <c r="I3" s="42">
        <v>1124</v>
      </c>
      <c r="J3" s="42">
        <v>1169</v>
      </c>
      <c r="K3" s="42">
        <v>1217</v>
      </c>
      <c r="L3" s="42">
        <v>1296</v>
      </c>
      <c r="M3" s="42">
        <v>1356</v>
      </c>
      <c r="N3" s="42">
        <v>1416</v>
      </c>
      <c r="O3" s="42">
        <v>1492</v>
      </c>
      <c r="P3" s="42">
        <v>1527</v>
      </c>
      <c r="Q3" s="42">
        <v>1586</v>
      </c>
      <c r="R3" s="42">
        <v>1735</v>
      </c>
      <c r="S3" s="42">
        <v>1879</v>
      </c>
      <c r="T3" s="42">
        <v>2013</v>
      </c>
      <c r="U3" s="42">
        <v>2166</v>
      </c>
      <c r="V3" s="42">
        <v>2438</v>
      </c>
      <c r="W3" s="42">
        <v>2672</v>
      </c>
      <c r="X3" s="42">
        <v>2920</v>
      </c>
      <c r="Y3" s="42">
        <v>3096</v>
      </c>
      <c r="Z3" s="42">
        <v>3179</v>
      </c>
      <c r="AA3" s="42">
        <v>3190</v>
      </c>
      <c r="AB3" s="42">
        <v>3261</v>
      </c>
      <c r="AC3" s="42">
        <v>3279</v>
      </c>
      <c r="AD3" s="42">
        <v>3327</v>
      </c>
      <c r="AE3" s="42">
        <v>3467</v>
      </c>
      <c r="AF3" s="42">
        <v>3529</v>
      </c>
      <c r="AG3" s="42">
        <v>3599</v>
      </c>
      <c r="AH3" s="42">
        <v>3647</v>
      </c>
      <c r="AI3" s="42">
        <v>3755</v>
      </c>
      <c r="AJ3" s="42">
        <v>3783</v>
      </c>
      <c r="AK3" s="42">
        <v>3795</v>
      </c>
      <c r="AL3" s="42">
        <v>3810</v>
      </c>
      <c r="AM3" s="42">
        <v>3834</v>
      </c>
      <c r="AN3" s="42">
        <v>3837</v>
      </c>
      <c r="AO3" s="42">
        <v>3837</v>
      </c>
      <c r="AP3" s="42">
        <v>3836</v>
      </c>
      <c r="AQ3" s="42">
        <v>3837</v>
      </c>
      <c r="AR3" s="42">
        <v>3834</v>
      </c>
      <c r="AS3" s="42"/>
    </row>
    <row r="4" spans="1:48" s="41" customFormat="1" x14ac:dyDescent="0.3">
      <c r="A4" s="42">
        <v>3963</v>
      </c>
      <c r="B4" s="41">
        <v>201003</v>
      </c>
      <c r="C4" s="42">
        <v>144</v>
      </c>
      <c r="D4" s="42">
        <v>381</v>
      </c>
      <c r="E4" s="42">
        <v>629</v>
      </c>
      <c r="F4" s="42">
        <v>837</v>
      </c>
      <c r="G4" s="42">
        <v>994</v>
      </c>
      <c r="H4" s="42">
        <v>1102</v>
      </c>
      <c r="I4" s="42">
        <v>1195</v>
      </c>
      <c r="J4" s="42">
        <v>1296</v>
      </c>
      <c r="K4" s="42">
        <v>1354</v>
      </c>
      <c r="L4" s="42">
        <v>1400</v>
      </c>
      <c r="M4" s="42">
        <v>1461</v>
      </c>
      <c r="N4" s="42">
        <v>1546</v>
      </c>
      <c r="O4" s="42">
        <v>1610</v>
      </c>
      <c r="P4" s="42">
        <v>1664</v>
      </c>
      <c r="Q4" s="42">
        <v>1732</v>
      </c>
      <c r="R4" s="42">
        <v>1833</v>
      </c>
      <c r="S4" s="42">
        <v>1980</v>
      </c>
      <c r="T4" s="42">
        <v>2113</v>
      </c>
      <c r="U4" s="42">
        <v>2287</v>
      </c>
      <c r="V4" s="42">
        <v>2560</v>
      </c>
      <c r="W4" s="42">
        <v>2780</v>
      </c>
      <c r="X4" s="42">
        <v>3089</v>
      </c>
      <c r="Y4" s="42">
        <v>3330</v>
      </c>
      <c r="Z4" s="42">
        <v>3416</v>
      </c>
      <c r="AA4" s="42">
        <v>3431</v>
      </c>
      <c r="AB4" s="42">
        <v>3420</v>
      </c>
      <c r="AC4" s="42">
        <v>3518</v>
      </c>
      <c r="AD4" s="42">
        <v>3586</v>
      </c>
      <c r="AE4" s="42">
        <v>3629</v>
      </c>
      <c r="AF4" s="42">
        <v>3650</v>
      </c>
      <c r="AG4" s="42">
        <v>3717</v>
      </c>
      <c r="AH4" s="42">
        <v>3734</v>
      </c>
      <c r="AI4" s="42">
        <v>3738</v>
      </c>
      <c r="AJ4" s="42">
        <v>3747</v>
      </c>
      <c r="AK4" s="42"/>
      <c r="AO4" s="42">
        <f>AVERAGE(AO3, AO5)</f>
        <v>3942</v>
      </c>
      <c r="AP4" s="42">
        <f>AVERAGE(AP3, AP5)</f>
        <v>3941.5</v>
      </c>
      <c r="AQ4" s="42">
        <f>AVERAGE(AQ3, AQ5)</f>
        <v>3940</v>
      </c>
    </row>
    <row r="5" spans="1:48" s="41" customFormat="1" x14ac:dyDescent="0.3">
      <c r="A5" s="42">
        <v>4043</v>
      </c>
      <c r="B5" s="41">
        <v>201103</v>
      </c>
      <c r="C5" s="42">
        <v>168</v>
      </c>
      <c r="D5" s="42">
        <v>440</v>
      </c>
      <c r="E5" s="42">
        <v>735</v>
      </c>
      <c r="F5" s="42">
        <v>960</v>
      </c>
      <c r="G5" s="42">
        <v>1104</v>
      </c>
      <c r="H5" s="42">
        <v>1233</v>
      </c>
      <c r="I5" s="42">
        <v>1345</v>
      </c>
      <c r="J5" s="42">
        <v>1391</v>
      </c>
      <c r="K5" s="42">
        <v>1453</v>
      </c>
      <c r="L5" s="42">
        <v>1549</v>
      </c>
      <c r="M5" s="42">
        <v>1625</v>
      </c>
      <c r="N5" s="42">
        <v>1696</v>
      </c>
      <c r="O5" s="42">
        <v>1782</v>
      </c>
      <c r="P5" s="42">
        <v>1843</v>
      </c>
      <c r="Q5" s="42">
        <v>1937</v>
      </c>
      <c r="R5" s="42">
        <v>2034</v>
      </c>
      <c r="S5" s="42">
        <v>2159</v>
      </c>
      <c r="T5" s="42">
        <v>2284</v>
      </c>
      <c r="U5" s="42">
        <v>2438</v>
      </c>
      <c r="V5" s="42">
        <v>2650</v>
      </c>
      <c r="W5" s="42">
        <v>2876</v>
      </c>
      <c r="X5" s="42">
        <v>3100</v>
      </c>
      <c r="Y5" s="42">
        <v>3236</v>
      </c>
      <c r="Z5" s="42">
        <v>3288</v>
      </c>
      <c r="AA5" s="42">
        <v>3334</v>
      </c>
      <c r="AB5" s="42">
        <v>3388</v>
      </c>
      <c r="AC5" s="42">
        <v>3367</v>
      </c>
      <c r="AD5" s="42">
        <v>3418</v>
      </c>
      <c r="AE5" s="42">
        <v>3438</v>
      </c>
      <c r="AF5" s="42">
        <v>3511</v>
      </c>
      <c r="AG5" s="42">
        <v>3622</v>
      </c>
      <c r="AH5" s="42">
        <v>3869</v>
      </c>
      <c r="AI5" s="42">
        <v>3901</v>
      </c>
      <c r="AJ5" s="42">
        <v>3913</v>
      </c>
      <c r="AK5" s="42">
        <v>3944</v>
      </c>
      <c r="AL5" s="42">
        <v>3978</v>
      </c>
      <c r="AM5" s="42">
        <v>4020</v>
      </c>
      <c r="AN5" s="42">
        <v>4045</v>
      </c>
      <c r="AO5" s="42">
        <v>4047</v>
      </c>
      <c r="AP5" s="42">
        <v>4047</v>
      </c>
      <c r="AQ5" s="42">
        <v>4043</v>
      </c>
      <c r="AR5" s="42">
        <v>4041</v>
      </c>
      <c r="AS5" s="42">
        <v>4039</v>
      </c>
      <c r="AT5" s="42">
        <v>4037</v>
      </c>
      <c r="AU5" s="42">
        <v>4036</v>
      </c>
      <c r="AV5" s="42">
        <v>4037</v>
      </c>
    </row>
    <row r="6" spans="1:48" s="41" customFormat="1" x14ac:dyDescent="0.3">
      <c r="A6" s="42">
        <v>3765</v>
      </c>
      <c r="B6" s="41">
        <v>201203</v>
      </c>
      <c r="C6" s="42">
        <v>136</v>
      </c>
      <c r="D6" s="42">
        <v>369</v>
      </c>
      <c r="E6" s="42">
        <v>652</v>
      </c>
      <c r="F6" s="42">
        <v>845</v>
      </c>
      <c r="G6" s="42">
        <v>991</v>
      </c>
      <c r="H6" s="42">
        <v>1117</v>
      </c>
      <c r="I6" s="42">
        <v>1233</v>
      </c>
      <c r="J6" s="42">
        <v>1318</v>
      </c>
      <c r="K6" s="42">
        <v>1380</v>
      </c>
      <c r="L6" s="42">
        <v>1457</v>
      </c>
      <c r="M6" s="42">
        <v>1546</v>
      </c>
      <c r="N6" s="42">
        <v>1628</v>
      </c>
      <c r="O6" s="42">
        <v>1711</v>
      </c>
      <c r="P6" s="42">
        <v>1789</v>
      </c>
      <c r="Q6" s="42">
        <v>1841</v>
      </c>
      <c r="R6" s="42">
        <v>1963</v>
      </c>
      <c r="S6" s="42">
        <v>2070</v>
      </c>
      <c r="T6" s="42">
        <v>2182</v>
      </c>
      <c r="U6" s="42">
        <v>2370</v>
      </c>
      <c r="V6" s="42">
        <v>2579</v>
      </c>
      <c r="W6" s="42">
        <v>2803</v>
      </c>
      <c r="X6" s="42">
        <v>2970</v>
      </c>
      <c r="Y6" s="42">
        <v>3109</v>
      </c>
      <c r="Z6" s="42">
        <v>3170</v>
      </c>
      <c r="AA6" s="42">
        <v>3168</v>
      </c>
      <c r="AB6" s="42">
        <v>3192</v>
      </c>
      <c r="AC6" s="42">
        <v>3249</v>
      </c>
      <c r="AD6" s="42">
        <v>3304</v>
      </c>
      <c r="AE6" s="42">
        <v>3326</v>
      </c>
      <c r="AF6" s="42">
        <v>3408</v>
      </c>
      <c r="AG6" s="42">
        <v>3477</v>
      </c>
      <c r="AH6" s="42">
        <v>3512</v>
      </c>
      <c r="AI6" s="42">
        <v>3582</v>
      </c>
      <c r="AJ6" s="42">
        <v>3629</v>
      </c>
      <c r="AK6" s="42">
        <v>3660</v>
      </c>
      <c r="AL6" s="42">
        <v>3676</v>
      </c>
      <c r="AM6" s="42">
        <v>3721</v>
      </c>
      <c r="AN6" s="42">
        <v>3748</v>
      </c>
      <c r="AO6" s="42">
        <v>3765</v>
      </c>
      <c r="AP6" s="42">
        <v>3765</v>
      </c>
      <c r="AQ6" s="42">
        <v>3764</v>
      </c>
      <c r="AR6" s="42">
        <v>3762</v>
      </c>
      <c r="AS6" s="42"/>
    </row>
    <row r="7" spans="1:48" s="41" customFormat="1" x14ac:dyDescent="0.3">
      <c r="A7" s="41">
        <v>3644</v>
      </c>
      <c r="B7" s="41">
        <v>201303</v>
      </c>
      <c r="C7" s="42">
        <v>143</v>
      </c>
      <c r="D7" s="42">
        <v>380</v>
      </c>
      <c r="E7" s="42">
        <v>632</v>
      </c>
      <c r="F7" s="42">
        <v>798</v>
      </c>
      <c r="G7" s="42">
        <v>919</v>
      </c>
      <c r="H7" s="42">
        <v>1027</v>
      </c>
      <c r="I7" s="41">
        <v>1124</v>
      </c>
      <c r="J7" s="41">
        <v>1204</v>
      </c>
      <c r="K7" s="41">
        <v>1265</v>
      </c>
      <c r="L7" s="41">
        <v>1315</v>
      </c>
      <c r="M7" s="41">
        <v>1374</v>
      </c>
      <c r="N7" s="41">
        <v>1452</v>
      </c>
      <c r="O7" s="30">
        <v>1509</v>
      </c>
      <c r="P7" s="41">
        <v>1575</v>
      </c>
      <c r="Q7" s="30">
        <v>1645</v>
      </c>
      <c r="R7" s="41">
        <v>1763</v>
      </c>
      <c r="S7" s="41">
        <v>1869</v>
      </c>
      <c r="T7" s="41">
        <v>2016</v>
      </c>
      <c r="U7" s="41">
        <v>2175</v>
      </c>
      <c r="V7" s="30">
        <v>2334</v>
      </c>
      <c r="W7" s="41">
        <v>2492</v>
      </c>
      <c r="X7" s="41">
        <v>2657</v>
      </c>
      <c r="Y7" s="30">
        <v>2823</v>
      </c>
      <c r="Z7" s="41">
        <v>2949</v>
      </c>
      <c r="AA7" s="41">
        <v>3017</v>
      </c>
      <c r="AB7" s="41">
        <v>3055</v>
      </c>
      <c r="AC7" s="42">
        <v>3018</v>
      </c>
      <c r="AD7" s="42">
        <v>3067</v>
      </c>
      <c r="AE7" s="42">
        <v>3096</v>
      </c>
      <c r="AF7" s="41">
        <v>3223</v>
      </c>
      <c r="AG7" s="41">
        <v>3267</v>
      </c>
      <c r="AH7" s="42">
        <v>3506</v>
      </c>
      <c r="AI7" s="41">
        <v>3539</v>
      </c>
      <c r="AJ7" s="41">
        <v>3559</v>
      </c>
      <c r="AK7" s="30">
        <v>3593</v>
      </c>
      <c r="AL7" s="41">
        <v>3596</v>
      </c>
      <c r="AM7" s="30">
        <v>3608</v>
      </c>
      <c r="AN7" s="41">
        <v>3631</v>
      </c>
      <c r="AO7" s="41">
        <v>3645</v>
      </c>
      <c r="AP7" s="41">
        <v>3645</v>
      </c>
      <c r="AQ7" s="41">
        <v>3645</v>
      </c>
    </row>
    <row r="8" spans="1:48" s="41" customFormat="1" x14ac:dyDescent="0.3">
      <c r="A8" s="41">
        <v>3700</v>
      </c>
      <c r="B8" s="41">
        <v>201403</v>
      </c>
      <c r="C8" s="42"/>
      <c r="D8" s="42">
        <v>194</v>
      </c>
      <c r="E8" s="42">
        <v>447</v>
      </c>
      <c r="F8" s="42">
        <v>653</v>
      </c>
      <c r="G8" s="42">
        <v>824</v>
      </c>
      <c r="H8" s="42">
        <v>937</v>
      </c>
      <c r="I8" s="41">
        <v>1052</v>
      </c>
      <c r="J8" s="42">
        <v>1111</v>
      </c>
      <c r="K8" s="41">
        <v>1145</v>
      </c>
      <c r="L8" s="41">
        <v>1215</v>
      </c>
      <c r="M8" s="41">
        <v>1258</v>
      </c>
      <c r="N8" s="41">
        <v>1316</v>
      </c>
      <c r="O8" s="30">
        <v>1405</v>
      </c>
      <c r="P8" s="41">
        <v>1470</v>
      </c>
      <c r="Q8" s="30">
        <v>1535</v>
      </c>
      <c r="R8" s="41">
        <v>1627</v>
      </c>
      <c r="S8" s="41">
        <v>1747</v>
      </c>
      <c r="T8" s="41">
        <v>1883</v>
      </c>
      <c r="U8" s="41">
        <v>2038</v>
      </c>
      <c r="V8" s="30">
        <v>2188</v>
      </c>
      <c r="W8" s="41">
        <v>2414</v>
      </c>
      <c r="X8" s="41">
        <v>2670</v>
      </c>
      <c r="Y8" s="30">
        <v>2810</v>
      </c>
      <c r="Z8" s="41">
        <v>2941</v>
      </c>
      <c r="AA8" s="41">
        <v>2968</v>
      </c>
      <c r="AB8" s="41">
        <v>3101</v>
      </c>
      <c r="AC8" s="42">
        <v>3214</v>
      </c>
      <c r="AD8" s="42">
        <v>3220</v>
      </c>
      <c r="AE8" s="42">
        <v>3341</v>
      </c>
      <c r="AF8" s="41">
        <v>3413</v>
      </c>
      <c r="AG8" s="41">
        <v>3441</v>
      </c>
      <c r="AH8" s="42">
        <v>3508</v>
      </c>
      <c r="AI8" s="41">
        <v>3569</v>
      </c>
      <c r="AJ8" s="41">
        <v>3614</v>
      </c>
      <c r="AK8" s="30"/>
      <c r="AM8" s="30"/>
    </row>
    <row r="9" spans="1:48" s="41" customFormat="1" x14ac:dyDescent="0.3">
      <c r="A9" s="41">
        <v>3396</v>
      </c>
      <c r="B9" s="41">
        <v>201503</v>
      </c>
      <c r="C9" s="42"/>
      <c r="D9" s="42">
        <v>159</v>
      </c>
      <c r="E9" s="42">
        <v>493</v>
      </c>
      <c r="F9" s="42">
        <v>650</v>
      </c>
      <c r="G9" s="42">
        <v>784</v>
      </c>
      <c r="H9" s="42">
        <v>883</v>
      </c>
      <c r="I9" s="41">
        <v>1010</v>
      </c>
      <c r="J9" s="42">
        <v>1073</v>
      </c>
      <c r="K9" s="41">
        <v>1146</v>
      </c>
      <c r="L9" s="41">
        <v>1197</v>
      </c>
      <c r="M9" s="41">
        <v>1258</v>
      </c>
      <c r="N9" s="41">
        <v>1323</v>
      </c>
      <c r="O9" s="30">
        <v>1372</v>
      </c>
      <c r="P9" s="41">
        <v>1450</v>
      </c>
      <c r="Q9" s="30">
        <v>1507</v>
      </c>
      <c r="R9" s="41">
        <v>1600</v>
      </c>
      <c r="S9" s="41">
        <v>1719</v>
      </c>
      <c r="T9" s="41">
        <v>1857</v>
      </c>
      <c r="U9" s="41">
        <v>2039</v>
      </c>
      <c r="V9" s="30">
        <v>2193</v>
      </c>
      <c r="W9" s="41">
        <v>2382</v>
      </c>
      <c r="X9" s="41">
        <v>2545</v>
      </c>
      <c r="Y9" s="30">
        <v>2736</v>
      </c>
      <c r="Z9" s="41">
        <v>2779</v>
      </c>
      <c r="AA9" s="41">
        <v>2780</v>
      </c>
      <c r="AB9" s="41">
        <v>2824</v>
      </c>
      <c r="AC9" s="42">
        <v>2878</v>
      </c>
      <c r="AD9" s="42">
        <v>2914</v>
      </c>
      <c r="AE9" s="42">
        <v>2959</v>
      </c>
      <c r="AF9" s="41">
        <v>3010</v>
      </c>
      <c r="AG9" s="41">
        <v>3086</v>
      </c>
      <c r="AH9" s="42">
        <v>3232</v>
      </c>
      <c r="AI9" s="41">
        <v>3290</v>
      </c>
      <c r="AJ9" s="41">
        <v>3319</v>
      </c>
      <c r="AK9" s="30"/>
      <c r="AM9" s="30"/>
    </row>
    <row r="10" spans="1:48" s="41" customFormat="1" x14ac:dyDescent="0.3">
      <c r="A10" s="41">
        <v>2891</v>
      </c>
      <c r="B10" s="41">
        <v>201603</v>
      </c>
      <c r="C10" s="42"/>
      <c r="D10" s="42">
        <v>138</v>
      </c>
      <c r="E10" s="42">
        <v>338</v>
      </c>
      <c r="F10" s="42">
        <v>612</v>
      </c>
      <c r="G10" s="42">
        <v>789</v>
      </c>
      <c r="H10" s="42">
        <v>899</v>
      </c>
      <c r="I10" s="41">
        <v>996</v>
      </c>
      <c r="J10" s="42">
        <v>1065</v>
      </c>
      <c r="K10" s="41">
        <v>1134</v>
      </c>
      <c r="L10" s="41">
        <v>1188</v>
      </c>
      <c r="M10" s="41">
        <v>1232</v>
      </c>
      <c r="N10" s="41">
        <v>1286</v>
      </c>
      <c r="O10">
        <v>1349</v>
      </c>
      <c r="P10">
        <v>1407</v>
      </c>
      <c r="Q10">
        <v>1455</v>
      </c>
      <c r="R10">
        <v>1500</v>
      </c>
      <c r="S10">
        <v>1577</v>
      </c>
      <c r="T10">
        <v>1719</v>
      </c>
      <c r="U10">
        <v>1852</v>
      </c>
      <c r="V10">
        <v>2016</v>
      </c>
      <c r="W10">
        <v>2191</v>
      </c>
      <c r="X10">
        <v>2380</v>
      </c>
      <c r="Y10">
        <v>2584</v>
      </c>
      <c r="Z10">
        <v>2615</v>
      </c>
      <c r="AA10">
        <v>2609</v>
      </c>
      <c r="AB10">
        <v>2595</v>
      </c>
      <c r="AC10">
        <v>2622</v>
      </c>
      <c r="AD10">
        <v>2660</v>
      </c>
      <c r="AE10">
        <v>2670</v>
      </c>
      <c r="AF10">
        <v>2692</v>
      </c>
      <c r="AG10">
        <v>2800</v>
      </c>
      <c r="AH10">
        <v>2806</v>
      </c>
      <c r="AI10">
        <v>2841</v>
      </c>
      <c r="AJ10">
        <v>2872</v>
      </c>
      <c r="AK10" s="30"/>
      <c r="AM10" s="30"/>
    </row>
    <row r="11" spans="1:48" s="41" customFormat="1" x14ac:dyDescent="0.3">
      <c r="A11" s="41">
        <v>2676</v>
      </c>
      <c r="B11" s="41">
        <v>201703</v>
      </c>
      <c r="C11" s="42"/>
      <c r="D11">
        <v>109</v>
      </c>
      <c r="E11">
        <v>325</v>
      </c>
      <c r="F11">
        <v>510</v>
      </c>
      <c r="G11">
        <v>632</v>
      </c>
      <c r="H11">
        <v>719</v>
      </c>
      <c r="I11">
        <v>808</v>
      </c>
      <c r="J11">
        <v>882</v>
      </c>
      <c r="K11">
        <v>942</v>
      </c>
      <c r="L11">
        <v>988</v>
      </c>
      <c r="M11">
        <v>1041</v>
      </c>
      <c r="N11">
        <v>1098</v>
      </c>
      <c r="O11">
        <v>1156</v>
      </c>
      <c r="P11">
        <v>1219</v>
      </c>
      <c r="Q11">
        <v>1273</v>
      </c>
      <c r="R11">
        <v>1324</v>
      </c>
      <c r="S11">
        <v>1419</v>
      </c>
      <c r="T11">
        <v>1496</v>
      </c>
      <c r="U11">
        <v>1638</v>
      </c>
      <c r="V11">
        <v>1750</v>
      </c>
      <c r="W11">
        <v>1950</v>
      </c>
      <c r="X11">
        <v>2146</v>
      </c>
      <c r="Y11">
        <v>2311</v>
      </c>
      <c r="Z11">
        <v>2353</v>
      </c>
      <c r="AA11">
        <v>2344</v>
      </c>
      <c r="AB11">
        <v>2379</v>
      </c>
      <c r="AC11">
        <v>2432</v>
      </c>
      <c r="AD11">
        <v>2545</v>
      </c>
      <c r="AE11">
        <v>2568</v>
      </c>
      <c r="AF11">
        <v>2587</v>
      </c>
      <c r="AG11">
        <v>2586</v>
      </c>
      <c r="AH11">
        <v>2622</v>
      </c>
      <c r="AI11">
        <v>2651</v>
      </c>
      <c r="AJ11">
        <v>2668</v>
      </c>
      <c r="AK11" s="30"/>
      <c r="AM11" s="30"/>
    </row>
    <row r="12" spans="1:48" s="57" customFormat="1" x14ac:dyDescent="0.3">
      <c r="A12" s="57">
        <v>2561</v>
      </c>
      <c r="B12" s="58">
        <v>201803</v>
      </c>
      <c r="D12">
        <v>83</v>
      </c>
      <c r="E12">
        <v>291</v>
      </c>
      <c r="F12">
        <v>417</v>
      </c>
      <c r="G12">
        <v>511</v>
      </c>
      <c r="H12" s="57">
        <v>601</v>
      </c>
      <c r="I12">
        <v>671</v>
      </c>
      <c r="J12">
        <v>753</v>
      </c>
      <c r="K12">
        <v>833</v>
      </c>
      <c r="L12">
        <v>878</v>
      </c>
      <c r="M12">
        <v>907</v>
      </c>
      <c r="N12">
        <v>953</v>
      </c>
      <c r="O12">
        <v>999</v>
      </c>
      <c r="P12">
        <v>1049</v>
      </c>
      <c r="Q12" s="57">
        <v>1107</v>
      </c>
      <c r="R12">
        <v>1161</v>
      </c>
      <c r="S12">
        <v>1245</v>
      </c>
      <c r="T12">
        <v>1343</v>
      </c>
      <c r="U12">
        <v>1439</v>
      </c>
      <c r="V12">
        <v>1605</v>
      </c>
      <c r="W12">
        <v>1844</v>
      </c>
      <c r="X12">
        <v>2006</v>
      </c>
      <c r="Y12">
        <v>2218</v>
      </c>
      <c r="Z12">
        <v>2291</v>
      </c>
      <c r="AA12">
        <v>2289</v>
      </c>
      <c r="AB12">
        <v>2295</v>
      </c>
      <c r="AC12">
        <v>2342</v>
      </c>
      <c r="AD12">
        <v>2353</v>
      </c>
      <c r="AE12">
        <v>2390</v>
      </c>
      <c r="AF12">
        <v>2399</v>
      </c>
      <c r="AG12">
        <v>2425</v>
      </c>
      <c r="AH12">
        <v>2515</v>
      </c>
      <c r="AI12">
        <v>2530</v>
      </c>
      <c r="AJ12">
        <v>2534</v>
      </c>
    </row>
    <row r="13" spans="1:48" s="57" customFormat="1" x14ac:dyDescent="0.3">
      <c r="A13" s="57">
        <v>2548</v>
      </c>
      <c r="B13" s="58">
        <v>201903</v>
      </c>
      <c r="D13">
        <v>100</v>
      </c>
      <c r="E13">
        <v>335</v>
      </c>
      <c r="F13">
        <v>482</v>
      </c>
      <c r="G13">
        <v>600</v>
      </c>
      <c r="H13">
        <v>692</v>
      </c>
      <c r="I13">
        <v>793</v>
      </c>
      <c r="J13">
        <v>857</v>
      </c>
      <c r="K13">
        <v>911</v>
      </c>
      <c r="L13">
        <v>948</v>
      </c>
      <c r="M13">
        <v>997</v>
      </c>
      <c r="N13">
        <v>1036</v>
      </c>
      <c r="O13">
        <v>1066</v>
      </c>
      <c r="P13">
        <v>1124</v>
      </c>
      <c r="Q13">
        <v>1174</v>
      </c>
      <c r="R13">
        <v>1210</v>
      </c>
      <c r="S13">
        <v>1278</v>
      </c>
      <c r="T13">
        <v>1374</v>
      </c>
      <c r="U13">
        <v>1491</v>
      </c>
      <c r="V13">
        <v>1623</v>
      </c>
      <c r="W13">
        <v>1785</v>
      </c>
      <c r="X13">
        <v>1927</v>
      </c>
      <c r="Y13">
        <v>2080</v>
      </c>
      <c r="Z13">
        <v>2138</v>
      </c>
      <c r="AA13">
        <v>2142</v>
      </c>
      <c r="AB13">
        <v>2180</v>
      </c>
      <c r="AC13">
        <v>2226</v>
      </c>
      <c r="AD13">
        <v>2256</v>
      </c>
      <c r="AE13">
        <v>2294</v>
      </c>
      <c r="AF13">
        <v>2322</v>
      </c>
      <c r="AG13">
        <v>2354</v>
      </c>
      <c r="AH13">
        <v>2365</v>
      </c>
      <c r="AI13">
        <v>2388</v>
      </c>
      <c r="AJ13">
        <v>2403</v>
      </c>
    </row>
    <row r="14" spans="1:48" s="57" customFormat="1" x14ac:dyDescent="0.3">
      <c r="A14" s="57">
        <v>2293</v>
      </c>
      <c r="B14" s="58">
        <v>202003</v>
      </c>
      <c r="D14"/>
      <c r="E14"/>
      <c r="F14"/>
      <c r="G14"/>
      <c r="H14">
        <v>461</v>
      </c>
      <c r="I14">
        <v>558</v>
      </c>
      <c r="J14">
        <v>636</v>
      </c>
      <c r="K14">
        <v>687</v>
      </c>
      <c r="L14">
        <v>738</v>
      </c>
      <c r="M14">
        <v>793</v>
      </c>
      <c r="N14">
        <v>838</v>
      </c>
      <c r="O14">
        <v>873</v>
      </c>
      <c r="P14">
        <v>925</v>
      </c>
      <c r="Q14">
        <v>977</v>
      </c>
      <c r="R14">
        <v>1012</v>
      </c>
      <c r="S14">
        <v>1070</v>
      </c>
      <c r="T14">
        <v>1162</v>
      </c>
      <c r="U14">
        <v>1253</v>
      </c>
      <c r="V14">
        <v>1394</v>
      </c>
      <c r="W14">
        <v>1517</v>
      </c>
      <c r="X14">
        <v>1735</v>
      </c>
      <c r="Y14">
        <v>1953</v>
      </c>
      <c r="Z14">
        <v>2035</v>
      </c>
      <c r="AA14">
        <v>2015</v>
      </c>
      <c r="AB14">
        <v>2028</v>
      </c>
      <c r="AC14">
        <v>2065</v>
      </c>
      <c r="AD14">
        <v>2159</v>
      </c>
      <c r="AE14">
        <v>2171</v>
      </c>
      <c r="AF14">
        <v>2191</v>
      </c>
      <c r="AG14">
        <v>2206</v>
      </c>
      <c r="AH14">
        <v>2231</v>
      </c>
      <c r="AI14">
        <v>2244</v>
      </c>
      <c r="AJ14">
        <v>2255</v>
      </c>
    </row>
    <row r="15" spans="1:48" s="57" customFormat="1" x14ac:dyDescent="0.3">
      <c r="B15" s="58">
        <v>202103</v>
      </c>
      <c r="D15"/>
      <c r="E15">
        <v>122</v>
      </c>
      <c r="F15">
        <v>286</v>
      </c>
      <c r="G15">
        <v>417</v>
      </c>
      <c r="H15">
        <v>512</v>
      </c>
      <c r="I15">
        <v>585</v>
      </c>
      <c r="J15">
        <v>641</v>
      </c>
      <c r="K15">
        <v>692</v>
      </c>
      <c r="L15">
        <v>735</v>
      </c>
      <c r="M15">
        <v>786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48" s="31" customFormat="1" x14ac:dyDescent="0.3">
      <c r="B16" s="56" t="s">
        <v>90</v>
      </c>
      <c r="C16" s="35"/>
      <c r="D16" s="35">
        <v>44284</v>
      </c>
      <c r="E16" s="35">
        <v>44291</v>
      </c>
      <c r="F16" s="35">
        <v>44298</v>
      </c>
      <c r="G16" s="35">
        <v>44305</v>
      </c>
      <c r="H16" s="35">
        <v>44312</v>
      </c>
      <c r="I16" s="35">
        <v>44319</v>
      </c>
      <c r="J16" s="35">
        <v>44326</v>
      </c>
      <c r="K16" s="35">
        <v>44333</v>
      </c>
      <c r="L16" s="35">
        <v>44340</v>
      </c>
      <c r="M16" s="35">
        <v>44347</v>
      </c>
      <c r="N16" s="35">
        <v>44354</v>
      </c>
      <c r="O16" s="35">
        <v>44361</v>
      </c>
      <c r="P16" s="35">
        <v>44368</v>
      </c>
      <c r="Q16" s="35">
        <v>44375</v>
      </c>
      <c r="R16" s="35">
        <v>44382</v>
      </c>
      <c r="S16" s="35">
        <v>44389</v>
      </c>
      <c r="T16" s="35">
        <v>44396</v>
      </c>
      <c r="U16" s="35">
        <v>44403</v>
      </c>
      <c r="V16" s="35">
        <v>44410</v>
      </c>
      <c r="W16" s="35">
        <v>44417</v>
      </c>
      <c r="X16" s="35">
        <v>44424</v>
      </c>
      <c r="Y16" s="35">
        <v>44431</v>
      </c>
      <c r="Z16" s="35">
        <v>44438</v>
      </c>
      <c r="AA16" s="35">
        <v>44445</v>
      </c>
      <c r="AB16" s="35">
        <v>44452</v>
      </c>
      <c r="AC16" s="35">
        <v>44459</v>
      </c>
      <c r="AD16" s="35">
        <v>44466</v>
      </c>
      <c r="AE16" s="35">
        <v>44473</v>
      </c>
      <c r="AF16" s="35">
        <v>44480</v>
      </c>
      <c r="AG16" s="35">
        <v>44487</v>
      </c>
      <c r="AH16" s="35">
        <v>44494</v>
      </c>
      <c r="AI16" s="35">
        <v>44501</v>
      </c>
      <c r="AJ16" s="35">
        <v>44508</v>
      </c>
      <c r="AK16" s="35">
        <v>44515</v>
      </c>
      <c r="AL16" s="35">
        <v>44522</v>
      </c>
      <c r="AM16" s="35">
        <v>44529</v>
      </c>
      <c r="AN16" s="35">
        <v>44536</v>
      </c>
      <c r="AO16" s="35">
        <v>44543</v>
      </c>
      <c r="AP16" s="35">
        <v>44550</v>
      </c>
      <c r="AQ16" s="35">
        <v>44557</v>
      </c>
      <c r="AR16" s="35">
        <v>44564</v>
      </c>
      <c r="AS16" s="35">
        <v>44571</v>
      </c>
      <c r="AT16" s="35">
        <v>44578</v>
      </c>
      <c r="AU16" s="35">
        <v>44585</v>
      </c>
      <c r="AV16" s="35"/>
    </row>
    <row r="17" spans="3:48" s="41" customFormat="1" x14ac:dyDescent="0.3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9" spans="3:48" x14ac:dyDescent="0.3">
      <c r="E19" t="s">
        <v>91</v>
      </c>
      <c r="F19"/>
      <c r="G19"/>
      <c r="H19"/>
      <c r="I19"/>
      <c r="J19"/>
      <c r="K19"/>
      <c r="L19"/>
      <c r="M19"/>
    </row>
    <row r="20" spans="3:48" ht="15" thickBot="1" x14ac:dyDescent="0.35">
      <c r="E20"/>
      <c r="F20"/>
      <c r="G20"/>
      <c r="H20"/>
      <c r="I20"/>
      <c r="J20"/>
      <c r="K20"/>
      <c r="L20"/>
      <c r="M20"/>
    </row>
    <row r="21" spans="3:48" x14ac:dyDescent="0.3">
      <c r="E21" s="27" t="s">
        <v>92</v>
      </c>
      <c r="F21" s="27"/>
      <c r="G21"/>
      <c r="H21"/>
      <c r="I21"/>
      <c r="J21"/>
      <c r="K21"/>
      <c r="L21"/>
      <c r="M21"/>
    </row>
    <row r="22" spans="3:48" x14ac:dyDescent="0.3">
      <c r="E22" s="24" t="s">
        <v>93</v>
      </c>
      <c r="F22" s="24">
        <v>0.83438802326468398</v>
      </c>
      <c r="G22"/>
      <c r="H22"/>
      <c r="I22"/>
      <c r="J22"/>
      <c r="K22"/>
      <c r="L22"/>
      <c r="M22"/>
    </row>
    <row r="23" spans="3:48" x14ac:dyDescent="0.3">
      <c r="E23" s="24" t="s">
        <v>94</v>
      </c>
      <c r="F23" s="24">
        <v>0.69620337336754679</v>
      </c>
      <c r="G23"/>
      <c r="H23"/>
      <c r="I23"/>
      <c r="J23"/>
      <c r="K23"/>
      <c r="L23"/>
      <c r="M23"/>
    </row>
    <row r="24" spans="3:48" x14ac:dyDescent="0.3">
      <c r="E24" s="24" t="s">
        <v>95</v>
      </c>
      <c r="F24" s="24">
        <v>0.66858549821914193</v>
      </c>
      <c r="G24"/>
      <c r="H24"/>
      <c r="I24"/>
      <c r="J24"/>
      <c r="K24"/>
      <c r="L24"/>
      <c r="M24"/>
    </row>
    <row r="25" spans="3:48" x14ac:dyDescent="0.3">
      <c r="E25" s="24" t="s">
        <v>96</v>
      </c>
      <c r="F25" s="24">
        <v>354.55266145054344</v>
      </c>
      <c r="G25"/>
      <c r="H25"/>
      <c r="I25"/>
      <c r="J25"/>
      <c r="K25"/>
      <c r="L25"/>
      <c r="M25"/>
    </row>
    <row r="26" spans="3:48" ht="15" thickBot="1" x14ac:dyDescent="0.35">
      <c r="E26" s="25" t="s">
        <v>97</v>
      </c>
      <c r="F26" s="25">
        <v>13</v>
      </c>
      <c r="G26"/>
      <c r="H26"/>
      <c r="I26"/>
      <c r="J26"/>
      <c r="K26"/>
      <c r="L26"/>
      <c r="M26"/>
    </row>
    <row r="27" spans="3:48" x14ac:dyDescent="0.3">
      <c r="E27"/>
      <c r="F27"/>
      <c r="G27"/>
      <c r="H27"/>
      <c r="I27"/>
      <c r="J27"/>
      <c r="K27"/>
      <c r="L27"/>
      <c r="M27"/>
    </row>
    <row r="28" spans="3:48" ht="15" thickBot="1" x14ac:dyDescent="0.35">
      <c r="E28" t="s">
        <v>98</v>
      </c>
      <c r="F28"/>
      <c r="G28"/>
      <c r="H28"/>
      <c r="I28"/>
      <c r="J28"/>
      <c r="K28"/>
      <c r="L28"/>
      <c r="M28"/>
    </row>
    <row r="29" spans="3:48" x14ac:dyDescent="0.3">
      <c r="E29" s="26"/>
      <c r="F29" s="26" t="s">
        <v>99</v>
      </c>
      <c r="G29" s="26" t="s">
        <v>100</v>
      </c>
      <c r="H29" s="26" t="s">
        <v>101</v>
      </c>
      <c r="I29" s="26" t="s">
        <v>102</v>
      </c>
      <c r="J29" s="26" t="s">
        <v>103</v>
      </c>
      <c r="K29"/>
      <c r="L29"/>
      <c r="M29"/>
    </row>
    <row r="30" spans="3:48" x14ac:dyDescent="0.3">
      <c r="E30" s="24" t="s">
        <v>104</v>
      </c>
      <c r="F30" s="24">
        <v>1</v>
      </c>
      <c r="G30" s="24">
        <v>3168891.4359186227</v>
      </c>
      <c r="H30" s="24">
        <v>3168891.4359186227</v>
      </c>
      <c r="I30" s="24">
        <v>25.208433654888115</v>
      </c>
      <c r="J30" s="24">
        <v>3.895524174160725E-4</v>
      </c>
      <c r="K30"/>
      <c r="L30"/>
      <c r="M30"/>
    </row>
    <row r="31" spans="3:48" x14ac:dyDescent="0.3">
      <c r="E31" s="24" t="s">
        <v>105</v>
      </c>
      <c r="F31" s="24">
        <v>11</v>
      </c>
      <c r="G31" s="24">
        <v>1382783.4871583004</v>
      </c>
      <c r="H31" s="24">
        <v>125707.58974166367</v>
      </c>
      <c r="I31" s="24"/>
      <c r="J31" s="24"/>
      <c r="K31"/>
      <c r="L31"/>
      <c r="M31"/>
    </row>
    <row r="32" spans="3:48" ht="15" thickBot="1" x14ac:dyDescent="0.35">
      <c r="E32" s="25" t="s">
        <v>106</v>
      </c>
      <c r="F32" s="25">
        <v>12</v>
      </c>
      <c r="G32" s="25">
        <v>4551674.923076923</v>
      </c>
      <c r="H32" s="25"/>
      <c r="I32" s="25"/>
      <c r="J32" s="25"/>
      <c r="K32"/>
      <c r="L32"/>
      <c r="M32"/>
    </row>
    <row r="33" spans="1:13" ht="15" thickBot="1" x14ac:dyDescent="0.35">
      <c r="E33"/>
      <c r="F33"/>
      <c r="G33"/>
      <c r="H33"/>
      <c r="I33"/>
      <c r="J33"/>
      <c r="K33"/>
      <c r="L33"/>
      <c r="M33"/>
    </row>
    <row r="34" spans="1:13" x14ac:dyDescent="0.3">
      <c r="E34" s="26"/>
      <c r="F34" s="26" t="s">
        <v>107</v>
      </c>
      <c r="G34" s="26" t="s">
        <v>96</v>
      </c>
      <c r="H34" s="26" t="s">
        <v>108</v>
      </c>
      <c r="I34" s="26" t="s">
        <v>109</v>
      </c>
      <c r="J34" s="26" t="s">
        <v>110</v>
      </c>
      <c r="K34" s="26" t="s">
        <v>111</v>
      </c>
      <c r="L34" s="26" t="s">
        <v>112</v>
      </c>
      <c r="M34" s="26" t="s">
        <v>113</v>
      </c>
    </row>
    <row r="35" spans="1:13" x14ac:dyDescent="0.3">
      <c r="E35" s="24" t="s">
        <v>114</v>
      </c>
      <c r="F35" s="24">
        <v>908.11746380190607</v>
      </c>
      <c r="G35" s="24">
        <v>486.6178432099411</v>
      </c>
      <c r="H35" s="24">
        <v>1.8661820080652443</v>
      </c>
      <c r="I35" s="24">
        <v>8.8884005225036603E-2</v>
      </c>
      <c r="J35" s="24">
        <v>-162.92118773897391</v>
      </c>
      <c r="K35" s="24">
        <v>1979.1561153427861</v>
      </c>
      <c r="L35" s="24">
        <v>-162.92118773897391</v>
      </c>
      <c r="M35" s="24">
        <v>1979.1561153427861</v>
      </c>
    </row>
    <row r="36" spans="1:13" ht="15" thickBot="1" x14ac:dyDescent="0.35">
      <c r="E36" s="25" t="s">
        <v>59</v>
      </c>
      <c r="F36" s="25">
        <v>1.9707598182067425</v>
      </c>
      <c r="G36" s="25">
        <v>0.3925190763494823</v>
      </c>
      <c r="H36" s="25">
        <v>5.0208001010683665</v>
      </c>
      <c r="I36" s="25">
        <v>3.8955241741607213E-4</v>
      </c>
      <c r="J36" s="25">
        <v>1.1068311561086552</v>
      </c>
      <c r="K36" s="25">
        <v>2.8346884803048296</v>
      </c>
      <c r="L36" s="25">
        <v>1.1068311561086552</v>
      </c>
      <c r="M36" s="25">
        <v>2.8346884803048296</v>
      </c>
    </row>
    <row r="37" spans="1:13" x14ac:dyDescent="0.3">
      <c r="E37"/>
      <c r="F37"/>
      <c r="G37"/>
      <c r="H37"/>
      <c r="I37"/>
      <c r="J37"/>
      <c r="K37"/>
      <c r="L37"/>
      <c r="M37"/>
    </row>
    <row r="38" spans="1:13" x14ac:dyDescent="0.3">
      <c r="A38" s="12" t="str">
        <f>CONCATENATE("Regression equation is: ", F35, " + ", E36, " * ", F36)</f>
        <v>Regression equation is: 908.117463801906 + week 11 * 1.97075981820674</v>
      </c>
      <c r="B38" s="13"/>
      <c r="E38"/>
      <c r="F38"/>
      <c r="G38"/>
      <c r="H38"/>
      <c r="I38"/>
      <c r="J38"/>
      <c r="K38"/>
      <c r="L38"/>
      <c r="M38"/>
    </row>
    <row r="39" spans="1:13" x14ac:dyDescent="0.3">
      <c r="B39" s="13"/>
      <c r="E39"/>
      <c r="F39"/>
      <c r="G39"/>
      <c r="H39"/>
      <c r="I39"/>
      <c r="J39"/>
      <c r="K39"/>
      <c r="L39"/>
      <c r="M39"/>
    </row>
    <row r="40" spans="1:13" x14ac:dyDescent="0.3">
      <c r="B40" s="13"/>
      <c r="E40" s="28" t="s">
        <v>119</v>
      </c>
      <c r="F40" s="15">
        <f>AVERAGE(M2:M14)</f>
        <v>1214.1538461538462</v>
      </c>
      <c r="H40" s="18" t="s">
        <v>121</v>
      </c>
      <c r="I40" s="33">
        <v>0.9</v>
      </c>
      <c r="J40" s="18" t="s">
        <v>122</v>
      </c>
      <c r="K40" s="17">
        <f>1-I40</f>
        <v>9.9999999999999978E-2</v>
      </c>
    </row>
    <row r="41" spans="1:13" x14ac:dyDescent="0.3">
      <c r="B41" s="13"/>
      <c r="E41" s="28" t="s">
        <v>120</v>
      </c>
      <c r="F41" s="12">
        <f>STDEV(M2:M14)</f>
        <v>260.75302687723683</v>
      </c>
    </row>
    <row r="42" spans="1:13" x14ac:dyDescent="0.3">
      <c r="B42" s="13"/>
      <c r="E42" s="28"/>
    </row>
    <row r="43" spans="1:13" x14ac:dyDescent="0.3">
      <c r="B43" s="13"/>
      <c r="E43" s="29" t="s">
        <v>132</v>
      </c>
      <c r="F43" s="19" t="s">
        <v>123</v>
      </c>
      <c r="G43" s="19" t="s">
        <v>124</v>
      </c>
      <c r="H43" s="19" t="s">
        <v>125</v>
      </c>
      <c r="I43" s="19" t="s">
        <v>126</v>
      </c>
      <c r="J43" s="19" t="s">
        <v>127</v>
      </c>
      <c r="K43" s="19" t="s">
        <v>128</v>
      </c>
    </row>
    <row r="44" spans="1:13" x14ac:dyDescent="0.3">
      <c r="B44" s="13"/>
      <c r="E44">
        <v>786</v>
      </c>
      <c r="F44" s="16">
        <f>TINV(K40, F31)</f>
        <v>1.7958848187040437</v>
      </c>
      <c r="G44" s="16">
        <f>F25*SQRT(1+1/F26+(E44-F40)^2/F41^2/F32)</f>
        <v>404.50102758098865</v>
      </c>
      <c r="H44" s="16">
        <f>F44*G44</f>
        <v>726.43725458288316</v>
      </c>
      <c r="I44" s="34">
        <f>J44-H44</f>
        <v>1730.6974263295224</v>
      </c>
      <c r="J44" s="34">
        <f>F35+E44*F36</f>
        <v>2457.1346809124057</v>
      </c>
      <c r="K44" s="34">
        <f>J44+H44</f>
        <v>3183.5719354952889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70" zoomScaleNormal="70" zoomScalePageLayoutView="80" workbookViewId="0">
      <pane xSplit="15" topLeftCell="P1" activePane="topRight" state="frozen"/>
      <selection pane="topRight" activeCell="E19" sqref="E19:M39"/>
    </sheetView>
  </sheetViews>
  <sheetFormatPr defaultColWidth="7.109375" defaultRowHeight="14.4" x14ac:dyDescent="0.3"/>
  <cols>
    <col min="1" max="1" width="7.109375" style="12" bestFit="1" customWidth="1"/>
    <col min="2" max="2" width="9.44140625" style="13" bestFit="1" customWidth="1"/>
    <col min="3" max="3" width="10.44140625" style="12" bestFit="1" customWidth="1"/>
    <col min="4" max="4" width="10" style="12" bestFit="1" customWidth="1"/>
    <col min="5" max="5" width="18.109375" style="12" bestFit="1" customWidth="1"/>
    <col min="6" max="6" width="12.109375" style="12" bestFit="1" customWidth="1"/>
    <col min="7" max="7" width="14.44140625" style="12" bestFit="1" customWidth="1"/>
    <col min="8" max="8" width="13.109375" style="12" bestFit="1" customWidth="1"/>
    <col min="9" max="9" width="12.109375" style="12" bestFit="1" customWidth="1"/>
    <col min="10" max="10" width="13.44140625" style="12" bestFit="1" customWidth="1"/>
    <col min="11" max="11" width="12.109375" style="12" bestFit="1" customWidth="1"/>
    <col min="12" max="12" width="12.77734375" style="12" bestFit="1" customWidth="1"/>
    <col min="13" max="13" width="12.44140625" style="12" bestFit="1" customWidth="1"/>
    <col min="14" max="16" width="9.77734375" style="12" bestFit="1" customWidth="1"/>
    <col min="17" max="20" width="9.109375" style="12" bestFit="1" customWidth="1"/>
    <col min="21" max="22" width="10" style="12" bestFit="1" customWidth="1"/>
    <col min="23" max="23" width="9.77734375" style="12" customWidth="1"/>
    <col min="24" max="25" width="10" style="12" bestFit="1" customWidth="1"/>
    <col min="26" max="29" width="9.77734375" style="12" bestFit="1" customWidth="1"/>
    <col min="30" max="30" width="10" style="12" bestFit="1" customWidth="1"/>
    <col min="31" max="31" width="11.109375" style="12" customWidth="1"/>
    <col min="32" max="32" width="11.77734375" style="12" customWidth="1"/>
    <col min="33" max="33" width="9.77734375" style="12" bestFit="1" customWidth="1"/>
    <col min="34" max="38" width="10.109375" style="12" bestFit="1" customWidth="1"/>
    <col min="39" max="42" width="10" style="12" bestFit="1" customWidth="1"/>
    <col min="43" max="46" width="9.77734375" style="12" bestFit="1" customWidth="1"/>
    <col min="47" max="47" width="10" style="12" bestFit="1" customWidth="1"/>
    <col min="48" max="48" width="6.77734375" style="12" bestFit="1" customWidth="1"/>
    <col min="49" max="16384" width="7.109375" style="12"/>
  </cols>
  <sheetData>
    <row r="1" spans="1:48" s="41" customFormat="1" x14ac:dyDescent="0.3">
      <c r="A1" s="41" t="s">
        <v>47</v>
      </c>
      <c r="B1" s="44" t="s">
        <v>48</v>
      </c>
      <c r="C1" s="41" t="s">
        <v>49</v>
      </c>
      <c r="D1" s="41" t="s">
        <v>50</v>
      </c>
      <c r="E1" s="41" t="s">
        <v>51</v>
      </c>
      <c r="F1" s="41" t="s">
        <v>52</v>
      </c>
      <c r="G1" s="41" t="s">
        <v>53</v>
      </c>
      <c r="H1" s="41" t="s">
        <v>54</v>
      </c>
      <c r="I1" s="41" t="s">
        <v>55</v>
      </c>
      <c r="J1" s="41" t="s">
        <v>56</v>
      </c>
      <c r="K1" s="41" t="s">
        <v>57</v>
      </c>
      <c r="L1" s="41" t="s">
        <v>58</v>
      </c>
      <c r="M1" s="41" t="s">
        <v>59</v>
      </c>
      <c r="N1" s="41" t="s">
        <v>60</v>
      </c>
      <c r="O1" s="41" t="s">
        <v>61</v>
      </c>
      <c r="P1" s="41" t="s">
        <v>62</v>
      </c>
      <c r="Q1" s="41" t="s">
        <v>63</v>
      </c>
      <c r="R1" s="41" t="s">
        <v>64</v>
      </c>
      <c r="S1" s="41" t="s">
        <v>65</v>
      </c>
      <c r="T1" s="41" t="s">
        <v>66</v>
      </c>
      <c r="U1" s="41" t="s">
        <v>67</v>
      </c>
      <c r="V1" s="41" t="s">
        <v>68</v>
      </c>
      <c r="W1" s="41" t="s">
        <v>69</v>
      </c>
      <c r="X1" s="41" t="s">
        <v>70</v>
      </c>
      <c r="Y1" s="41" t="s">
        <v>71</v>
      </c>
      <c r="Z1" s="41" t="s">
        <v>72</v>
      </c>
      <c r="AA1" s="41" t="s">
        <v>73</v>
      </c>
      <c r="AB1" s="41" t="s">
        <v>74</v>
      </c>
      <c r="AC1" s="41" t="s">
        <v>75</v>
      </c>
      <c r="AD1" s="41" t="s">
        <v>76</v>
      </c>
      <c r="AE1" s="41" t="s">
        <v>77</v>
      </c>
      <c r="AF1" s="41" t="s">
        <v>78</v>
      </c>
      <c r="AG1" s="41" t="s">
        <v>79</v>
      </c>
      <c r="AH1" s="41" t="s">
        <v>80</v>
      </c>
      <c r="AI1" s="41" t="s">
        <v>81</v>
      </c>
      <c r="AJ1" s="41" t="s">
        <v>82</v>
      </c>
      <c r="AK1" s="41" t="s">
        <v>83</v>
      </c>
      <c r="AL1" s="41" t="s">
        <v>84</v>
      </c>
      <c r="AM1" s="41" t="s">
        <v>85</v>
      </c>
      <c r="AN1" s="41" t="s">
        <v>86</v>
      </c>
      <c r="AO1" s="41" t="s">
        <v>87</v>
      </c>
      <c r="AP1" s="41" t="s">
        <v>88</v>
      </c>
      <c r="AQ1" s="41" t="s">
        <v>89</v>
      </c>
    </row>
    <row r="2" spans="1:48" s="41" customFormat="1" x14ac:dyDescent="0.3">
      <c r="A2" s="45">
        <v>32328</v>
      </c>
      <c r="B2" s="44">
        <v>200803</v>
      </c>
      <c r="C2" s="42">
        <v>3377</v>
      </c>
      <c r="D2" s="42">
        <v>5618</v>
      </c>
      <c r="E2" s="42">
        <v>7351</v>
      </c>
      <c r="F2" s="42">
        <v>8547</v>
      </c>
      <c r="G2" s="42">
        <v>9604</v>
      </c>
      <c r="H2" s="42">
        <v>10447</v>
      </c>
      <c r="I2" s="42">
        <v>11096</v>
      </c>
      <c r="J2" s="42">
        <v>11624</v>
      </c>
      <c r="K2" s="42">
        <v>12120</v>
      </c>
      <c r="L2" s="42">
        <v>12559</v>
      </c>
      <c r="M2" s="42">
        <v>13020</v>
      </c>
      <c r="N2" s="42">
        <v>13558</v>
      </c>
      <c r="O2" s="42">
        <v>14123</v>
      </c>
      <c r="P2" s="42">
        <v>14562</v>
      </c>
      <c r="Q2" s="42">
        <v>15349</v>
      </c>
      <c r="R2" s="42">
        <v>16201</v>
      </c>
      <c r="S2" s="42">
        <v>17193</v>
      </c>
      <c r="T2" s="42">
        <v>18478</v>
      </c>
      <c r="U2" s="42">
        <v>20011</v>
      </c>
      <c r="V2" s="42">
        <v>21694</v>
      </c>
      <c r="W2" s="42">
        <v>24174</v>
      </c>
      <c r="X2" s="42">
        <v>25648</v>
      </c>
      <c r="Y2" s="42">
        <v>26621</v>
      </c>
      <c r="Z2" s="42">
        <v>27212</v>
      </c>
      <c r="AA2" s="42">
        <v>27940</v>
      </c>
      <c r="AB2" s="42">
        <v>28509</v>
      </c>
      <c r="AC2" s="42">
        <v>28967</v>
      </c>
      <c r="AD2" s="42">
        <v>29373</v>
      </c>
      <c r="AE2" s="42">
        <v>29803</v>
      </c>
      <c r="AF2" s="42">
        <v>30147</v>
      </c>
      <c r="AG2" s="42">
        <v>30651</v>
      </c>
      <c r="AH2" s="42">
        <v>31107</v>
      </c>
      <c r="AI2" s="42">
        <v>31437</v>
      </c>
      <c r="AJ2" s="42">
        <v>31591</v>
      </c>
      <c r="AK2" s="42">
        <v>31689</v>
      </c>
      <c r="AL2" s="42">
        <v>31806</v>
      </c>
      <c r="AM2" s="42">
        <v>31951</v>
      </c>
      <c r="AN2" s="42">
        <v>32094</v>
      </c>
      <c r="AO2" s="42">
        <v>32117</v>
      </c>
      <c r="AP2" s="42">
        <v>32149</v>
      </c>
      <c r="AQ2" s="42">
        <v>32176</v>
      </c>
      <c r="AR2" s="42"/>
    </row>
    <row r="3" spans="1:48" s="41" customFormat="1" x14ac:dyDescent="0.3">
      <c r="A3" s="45">
        <v>33710</v>
      </c>
      <c r="B3" s="44">
        <v>200903</v>
      </c>
      <c r="C3" s="42">
        <v>3468</v>
      </c>
      <c r="D3" s="42">
        <v>6484</v>
      </c>
      <c r="E3" s="42">
        <v>8173</v>
      </c>
      <c r="F3" s="42">
        <v>9446</v>
      </c>
      <c r="G3" s="42">
        <v>10356</v>
      </c>
      <c r="H3" s="42">
        <v>11279</v>
      </c>
      <c r="I3" s="42">
        <v>11990</v>
      </c>
      <c r="J3" s="42">
        <v>12564</v>
      </c>
      <c r="K3" s="42">
        <v>13123</v>
      </c>
      <c r="L3" s="42">
        <v>13730</v>
      </c>
      <c r="M3" s="42">
        <v>14301</v>
      </c>
      <c r="N3" s="42">
        <v>14921</v>
      </c>
      <c r="O3" s="42">
        <v>15655</v>
      </c>
      <c r="P3" s="42">
        <v>16157</v>
      </c>
      <c r="Q3" s="42">
        <v>16949</v>
      </c>
      <c r="R3" s="42">
        <v>17893</v>
      </c>
      <c r="S3" s="42">
        <v>18944</v>
      </c>
      <c r="T3" s="42">
        <v>20199</v>
      </c>
      <c r="U3" s="42">
        <v>21689</v>
      </c>
      <c r="V3" s="42">
        <v>23327</v>
      </c>
      <c r="W3" s="42">
        <v>25545</v>
      </c>
      <c r="X3" s="42">
        <v>26994</v>
      </c>
      <c r="Y3" s="42">
        <v>28147</v>
      </c>
      <c r="Z3" s="42">
        <v>28859</v>
      </c>
      <c r="AA3" s="42">
        <v>29186</v>
      </c>
      <c r="AB3" s="42">
        <v>29632</v>
      </c>
      <c r="AC3" s="42">
        <v>30170</v>
      </c>
      <c r="AD3" s="42">
        <v>30758</v>
      </c>
      <c r="AE3" s="42">
        <v>31209</v>
      </c>
      <c r="AF3" s="42">
        <v>31566</v>
      </c>
      <c r="AG3" s="42">
        <v>31910</v>
      </c>
      <c r="AH3" s="42">
        <v>32133</v>
      </c>
      <c r="AI3" s="42">
        <v>32677</v>
      </c>
      <c r="AJ3" s="42">
        <v>32839</v>
      </c>
      <c r="AK3" s="42">
        <v>32942</v>
      </c>
      <c r="AL3" s="42">
        <v>33182</v>
      </c>
      <c r="AM3" s="42">
        <v>33484</v>
      </c>
      <c r="AN3" s="42">
        <v>33657</v>
      </c>
      <c r="AO3" s="42">
        <v>33668</v>
      </c>
      <c r="AP3" s="42">
        <v>33667</v>
      </c>
      <c r="AQ3" s="42">
        <v>33700</v>
      </c>
      <c r="AR3" s="42">
        <v>33711</v>
      </c>
      <c r="AS3" s="42"/>
    </row>
    <row r="4" spans="1:48" s="41" customFormat="1" x14ac:dyDescent="0.3">
      <c r="A4" s="45">
        <v>34480</v>
      </c>
      <c r="B4" s="44">
        <v>201003</v>
      </c>
      <c r="C4" s="42">
        <v>4210</v>
      </c>
      <c r="D4" s="42">
        <v>7581</v>
      </c>
      <c r="E4" s="42">
        <v>9404</v>
      </c>
      <c r="F4" s="42">
        <v>10550</v>
      </c>
      <c r="G4" s="42">
        <v>11620</v>
      </c>
      <c r="H4" s="42">
        <v>12562</v>
      </c>
      <c r="I4" s="42">
        <v>13453</v>
      </c>
      <c r="J4" s="42">
        <v>14223</v>
      </c>
      <c r="K4" s="42">
        <v>14730</v>
      </c>
      <c r="L4" s="42">
        <v>15317</v>
      </c>
      <c r="M4" s="42">
        <v>15905</v>
      </c>
      <c r="N4" s="42">
        <v>16536</v>
      </c>
      <c r="O4" s="42">
        <v>17258</v>
      </c>
      <c r="P4" s="42">
        <v>17829</v>
      </c>
      <c r="Q4" s="42">
        <v>18519</v>
      </c>
      <c r="R4" s="42">
        <v>19417</v>
      </c>
      <c r="S4" s="42">
        <v>20545</v>
      </c>
      <c r="T4" s="42">
        <v>21727</v>
      </c>
      <c r="U4" s="42">
        <v>22992</v>
      </c>
      <c r="V4" s="42">
        <v>24606</v>
      </c>
      <c r="W4" s="42">
        <v>26545</v>
      </c>
      <c r="X4" s="42">
        <v>28136</v>
      </c>
      <c r="Y4" s="42">
        <v>29324</v>
      </c>
      <c r="Z4" s="42">
        <v>30055</v>
      </c>
      <c r="AA4" s="42">
        <v>30662</v>
      </c>
      <c r="AB4" s="42">
        <v>31045</v>
      </c>
      <c r="AC4" s="42">
        <v>31520</v>
      </c>
      <c r="AD4" s="42">
        <v>31872</v>
      </c>
      <c r="AE4" s="42">
        <v>32239</v>
      </c>
      <c r="AF4" s="42">
        <v>32567</v>
      </c>
      <c r="AG4" s="42">
        <v>32883</v>
      </c>
      <c r="AH4" s="42">
        <v>33195</v>
      </c>
      <c r="AI4" s="42">
        <v>33372</v>
      </c>
      <c r="AJ4" s="42">
        <v>33591</v>
      </c>
      <c r="AK4" s="42"/>
      <c r="AN4" s="42">
        <v>34921</v>
      </c>
      <c r="AO4" s="42">
        <f>AVERAGE(AO3, AO5)</f>
        <v>34315.5</v>
      </c>
      <c r="AP4" s="42">
        <f>AVERAGE(AP3, AP5)</f>
        <v>34316.5</v>
      </c>
      <c r="AQ4" s="42">
        <f>AVERAGE(AQ3, AQ5)</f>
        <v>34334</v>
      </c>
    </row>
    <row r="5" spans="1:48" s="41" customFormat="1" x14ac:dyDescent="0.3">
      <c r="A5" s="45">
        <v>34983</v>
      </c>
      <c r="B5" s="44">
        <v>201103</v>
      </c>
      <c r="C5" s="42">
        <v>2309</v>
      </c>
      <c r="D5" s="42">
        <v>7890</v>
      </c>
      <c r="E5" s="42">
        <v>10036</v>
      </c>
      <c r="F5" s="42">
        <v>11565</v>
      </c>
      <c r="G5" s="42">
        <v>12821</v>
      </c>
      <c r="H5" s="42">
        <v>13875</v>
      </c>
      <c r="I5" s="42">
        <v>14790</v>
      </c>
      <c r="J5" s="42">
        <v>15528</v>
      </c>
      <c r="K5" s="42">
        <v>16036</v>
      </c>
      <c r="L5" s="42">
        <v>16681</v>
      </c>
      <c r="M5" s="42">
        <v>17379</v>
      </c>
      <c r="N5" s="42">
        <v>18056</v>
      </c>
      <c r="O5" s="42">
        <v>18772</v>
      </c>
      <c r="P5" s="42">
        <v>19307</v>
      </c>
      <c r="Q5" s="42">
        <v>19955</v>
      </c>
      <c r="R5" s="42">
        <v>20883</v>
      </c>
      <c r="S5" s="42">
        <v>21781</v>
      </c>
      <c r="T5" s="42">
        <v>22806</v>
      </c>
      <c r="U5" s="42">
        <v>24132</v>
      </c>
      <c r="V5" s="42">
        <v>25639</v>
      </c>
      <c r="W5" s="42">
        <v>27292</v>
      </c>
      <c r="X5" s="42">
        <v>29027</v>
      </c>
      <c r="Y5" s="42">
        <v>30035</v>
      </c>
      <c r="Z5" s="42">
        <v>30547</v>
      </c>
      <c r="AA5" s="42">
        <v>30991</v>
      </c>
      <c r="AB5" s="42">
        <v>31410</v>
      </c>
      <c r="AC5" s="42">
        <v>31725</v>
      </c>
      <c r="AD5" s="42">
        <v>31922</v>
      </c>
      <c r="AE5" s="42">
        <v>32260</v>
      </c>
      <c r="AF5" s="42">
        <v>32612</v>
      </c>
      <c r="AG5" s="42">
        <v>33014</v>
      </c>
      <c r="AH5" s="42">
        <v>33472</v>
      </c>
      <c r="AI5" s="42">
        <v>33847</v>
      </c>
      <c r="AJ5" s="42">
        <v>34177</v>
      </c>
      <c r="AK5" s="42">
        <v>34394</v>
      </c>
      <c r="AL5" s="42">
        <v>34622</v>
      </c>
      <c r="AM5" s="42">
        <v>34771</v>
      </c>
      <c r="AN5" s="42">
        <v>33329</v>
      </c>
      <c r="AO5" s="42">
        <v>34963</v>
      </c>
      <c r="AP5" s="42">
        <v>34966</v>
      </c>
      <c r="AQ5" s="42">
        <v>34968</v>
      </c>
      <c r="AR5" s="42">
        <v>34982</v>
      </c>
      <c r="AS5" s="42">
        <v>35044</v>
      </c>
      <c r="AT5" s="42">
        <v>35045</v>
      </c>
      <c r="AU5" s="42">
        <v>35059</v>
      </c>
      <c r="AV5" s="42">
        <v>35064</v>
      </c>
    </row>
    <row r="6" spans="1:48" s="41" customFormat="1" x14ac:dyDescent="0.3">
      <c r="A6" s="41">
        <v>33581</v>
      </c>
      <c r="B6" s="44">
        <v>201203</v>
      </c>
      <c r="C6" s="42">
        <v>2762</v>
      </c>
      <c r="D6" s="42">
        <v>8307</v>
      </c>
      <c r="E6" s="42">
        <v>10314</v>
      </c>
      <c r="F6" s="42">
        <v>11811</v>
      </c>
      <c r="G6" s="42">
        <v>12867</v>
      </c>
      <c r="H6" s="42">
        <v>13953</v>
      </c>
      <c r="I6" s="42">
        <v>14910</v>
      </c>
      <c r="J6" s="42">
        <v>15645</v>
      </c>
      <c r="K6" s="42">
        <v>16235</v>
      </c>
      <c r="L6" s="42">
        <v>16879</v>
      </c>
      <c r="M6" s="42">
        <v>17603</v>
      </c>
      <c r="N6" s="42">
        <v>18305</v>
      </c>
      <c r="O6" s="42">
        <v>18898</v>
      </c>
      <c r="P6" s="42">
        <v>19530</v>
      </c>
      <c r="Q6" s="42">
        <v>19976</v>
      </c>
      <c r="R6" s="42">
        <v>20814</v>
      </c>
      <c r="S6" s="42">
        <v>21655</v>
      </c>
      <c r="T6" s="42">
        <v>22562</v>
      </c>
      <c r="U6" s="42">
        <v>23844</v>
      </c>
      <c r="V6" s="42">
        <v>25085</v>
      </c>
      <c r="W6" s="42">
        <v>26423</v>
      </c>
      <c r="X6" s="42">
        <v>27895</v>
      </c>
      <c r="Y6" s="42">
        <v>28926</v>
      </c>
      <c r="Z6" s="42">
        <v>29276</v>
      </c>
      <c r="AA6" s="42">
        <v>29456</v>
      </c>
      <c r="AB6" s="42">
        <v>30023</v>
      </c>
      <c r="AC6" s="42">
        <v>30394</v>
      </c>
      <c r="AD6" s="42">
        <v>30752</v>
      </c>
      <c r="AE6" s="42">
        <v>31062</v>
      </c>
      <c r="AF6" s="42">
        <v>31382</v>
      </c>
      <c r="AG6" s="42">
        <v>31668</v>
      </c>
      <c r="AH6" s="42">
        <v>31900</v>
      </c>
      <c r="AI6" s="42">
        <v>32146</v>
      </c>
      <c r="AJ6" s="42">
        <v>32363</v>
      </c>
      <c r="AK6" s="42">
        <v>32487</v>
      </c>
      <c r="AL6" s="42">
        <v>32815</v>
      </c>
      <c r="AM6" s="42">
        <v>33101</v>
      </c>
      <c r="AO6" s="42">
        <v>33483</v>
      </c>
      <c r="AP6" s="42">
        <v>33483</v>
      </c>
      <c r="AQ6" s="42">
        <v>33544</v>
      </c>
      <c r="AR6" s="42">
        <v>33578</v>
      </c>
    </row>
    <row r="7" spans="1:48" s="41" customFormat="1" x14ac:dyDescent="0.3">
      <c r="A7" s="41">
        <v>32696</v>
      </c>
      <c r="B7" s="44">
        <v>201303</v>
      </c>
      <c r="C7" s="42">
        <v>3003</v>
      </c>
      <c r="D7" s="42">
        <v>8375</v>
      </c>
      <c r="E7" s="42">
        <v>10174</v>
      </c>
      <c r="F7" s="42">
        <v>11518</v>
      </c>
      <c r="G7" s="42">
        <v>12567</v>
      </c>
      <c r="H7" s="42">
        <v>13448</v>
      </c>
      <c r="I7" s="41">
        <v>14455</v>
      </c>
      <c r="J7" s="41">
        <v>15145</v>
      </c>
      <c r="K7" s="41">
        <v>15637</v>
      </c>
      <c r="L7" s="41">
        <v>16224</v>
      </c>
      <c r="M7" s="41">
        <v>16799</v>
      </c>
      <c r="N7" s="41">
        <v>17350</v>
      </c>
      <c r="O7" s="41">
        <v>17938</v>
      </c>
      <c r="P7" s="30">
        <v>18564</v>
      </c>
      <c r="Q7" s="41">
        <v>19071</v>
      </c>
      <c r="R7" s="41">
        <v>19845</v>
      </c>
      <c r="S7" s="41">
        <v>20762</v>
      </c>
      <c r="T7" s="41">
        <v>22013</v>
      </c>
      <c r="U7" s="41">
        <v>23160</v>
      </c>
      <c r="V7" s="41">
        <v>24311</v>
      </c>
      <c r="W7" s="41">
        <v>25556</v>
      </c>
      <c r="X7" s="41">
        <v>27251</v>
      </c>
      <c r="Y7" s="41">
        <v>28196</v>
      </c>
      <c r="Z7" s="41">
        <v>28932</v>
      </c>
      <c r="AA7" s="41">
        <v>29437</v>
      </c>
      <c r="AB7" s="41">
        <v>29442</v>
      </c>
      <c r="AC7" s="41">
        <v>29762</v>
      </c>
      <c r="AD7" s="41">
        <v>30242</v>
      </c>
      <c r="AE7" s="41">
        <v>30466</v>
      </c>
      <c r="AF7" s="30">
        <v>30795</v>
      </c>
      <c r="AG7" s="41">
        <v>31008</v>
      </c>
      <c r="AH7" s="42">
        <v>31519</v>
      </c>
      <c r="AI7" s="30">
        <v>31754</v>
      </c>
      <c r="AJ7" s="41">
        <v>31919</v>
      </c>
      <c r="AK7" s="41">
        <v>32149</v>
      </c>
      <c r="AL7" s="41">
        <v>32231</v>
      </c>
      <c r="AM7" s="30">
        <v>32410</v>
      </c>
      <c r="AN7" s="41">
        <v>32588</v>
      </c>
      <c r="AO7" s="41">
        <v>32691</v>
      </c>
      <c r="AP7" s="41">
        <v>32635</v>
      </c>
      <c r="AQ7" s="41">
        <v>32640</v>
      </c>
    </row>
    <row r="8" spans="1:48" s="41" customFormat="1" x14ac:dyDescent="0.3">
      <c r="A8" s="41">
        <v>31522</v>
      </c>
      <c r="B8" s="44" t="s">
        <v>133</v>
      </c>
      <c r="C8" s="42"/>
      <c r="D8" s="42">
        <v>2929</v>
      </c>
      <c r="E8" s="42">
        <v>8094</v>
      </c>
      <c r="F8" s="42">
        <v>9939</v>
      </c>
      <c r="G8" s="42">
        <v>11306</v>
      </c>
      <c r="H8" s="42">
        <v>12381</v>
      </c>
      <c r="I8" s="41">
        <v>13287</v>
      </c>
      <c r="J8" s="41">
        <v>13961</v>
      </c>
      <c r="K8" s="41">
        <v>14542</v>
      </c>
      <c r="L8" s="41">
        <v>15130</v>
      </c>
      <c r="M8" s="41">
        <v>15711</v>
      </c>
      <c r="N8" s="41">
        <v>16303</v>
      </c>
      <c r="O8" s="41">
        <v>16971</v>
      </c>
      <c r="P8" s="30">
        <v>17609</v>
      </c>
      <c r="Q8" s="41">
        <v>18089</v>
      </c>
      <c r="R8" s="41">
        <v>18788</v>
      </c>
      <c r="S8" s="41">
        <v>19749</v>
      </c>
      <c r="T8" s="41">
        <v>20734</v>
      </c>
      <c r="U8" s="41">
        <v>21750</v>
      </c>
      <c r="V8" s="41">
        <v>22932</v>
      </c>
      <c r="W8" s="41">
        <v>24284</v>
      </c>
      <c r="X8" s="41">
        <v>25819</v>
      </c>
      <c r="Y8" s="41">
        <v>26881</v>
      </c>
      <c r="Z8" s="41">
        <v>27806</v>
      </c>
      <c r="AA8" s="41">
        <v>28239</v>
      </c>
      <c r="AB8" s="41">
        <v>28375</v>
      </c>
      <c r="AC8" s="41">
        <v>28716</v>
      </c>
      <c r="AD8" s="41">
        <v>28923</v>
      </c>
      <c r="AE8" s="41">
        <v>29258</v>
      </c>
      <c r="AF8" s="30">
        <v>29728</v>
      </c>
      <c r="AG8" s="41">
        <v>30046</v>
      </c>
      <c r="AH8" s="42">
        <v>30381</v>
      </c>
      <c r="AI8" s="30">
        <v>30608</v>
      </c>
      <c r="AJ8" s="41">
        <v>30809</v>
      </c>
      <c r="AM8" s="30"/>
    </row>
    <row r="9" spans="1:48" s="41" customFormat="1" x14ac:dyDescent="0.3">
      <c r="A9" s="41">
        <v>30496</v>
      </c>
      <c r="B9" s="44" t="s">
        <v>134</v>
      </c>
      <c r="C9" s="42"/>
      <c r="D9" s="42">
        <v>2699</v>
      </c>
      <c r="E9" s="42">
        <v>7420</v>
      </c>
      <c r="F9" s="42">
        <v>9114</v>
      </c>
      <c r="G9" s="42">
        <v>10422</v>
      </c>
      <c r="H9" s="42">
        <v>11312</v>
      </c>
      <c r="I9" s="41">
        <v>12568</v>
      </c>
      <c r="J9" s="41">
        <v>13243</v>
      </c>
      <c r="K9" s="41">
        <v>13811</v>
      </c>
      <c r="L9" s="41">
        <v>14398</v>
      </c>
      <c r="M9" s="41">
        <v>14984</v>
      </c>
      <c r="N9" s="41">
        <v>15677</v>
      </c>
      <c r="O9" s="41">
        <v>16224</v>
      </c>
      <c r="P9" s="30">
        <v>16848</v>
      </c>
      <c r="Q9" s="41">
        <v>17292</v>
      </c>
      <c r="R9" s="41">
        <v>18020</v>
      </c>
      <c r="S9" s="41">
        <v>18929</v>
      </c>
      <c r="T9" s="41">
        <v>19880</v>
      </c>
      <c r="U9" s="41">
        <v>21086</v>
      </c>
      <c r="V9" s="41">
        <v>22283</v>
      </c>
      <c r="W9" s="41">
        <v>23800</v>
      </c>
      <c r="X9" s="41">
        <v>25371</v>
      </c>
      <c r="Y9" s="41">
        <v>26404</v>
      </c>
      <c r="Z9" s="41">
        <v>26853</v>
      </c>
      <c r="AA9" s="41">
        <v>27320</v>
      </c>
      <c r="AB9" s="41">
        <v>27562</v>
      </c>
      <c r="AC9" s="41">
        <v>28066</v>
      </c>
      <c r="AD9" s="41">
        <v>28425</v>
      </c>
      <c r="AE9" s="41">
        <v>28761</v>
      </c>
      <c r="AF9" s="30">
        <v>28994</v>
      </c>
      <c r="AG9" s="41">
        <v>29258</v>
      </c>
      <c r="AH9" s="42">
        <v>29602</v>
      </c>
      <c r="AI9" s="30">
        <v>29776</v>
      </c>
      <c r="AJ9" s="41">
        <v>29927</v>
      </c>
      <c r="AM9" s="30"/>
    </row>
    <row r="10" spans="1:48" s="41" customFormat="1" x14ac:dyDescent="0.3">
      <c r="A10" s="41">
        <v>29171</v>
      </c>
      <c r="B10" s="53" t="s">
        <v>135</v>
      </c>
      <c r="C10" s="42"/>
      <c r="D10" s="42">
        <v>2486</v>
      </c>
      <c r="E10" s="42">
        <v>6692</v>
      </c>
      <c r="F10" s="42">
        <v>8378</v>
      </c>
      <c r="G10" s="42">
        <v>9653</v>
      </c>
      <c r="H10" s="42">
        <v>10752</v>
      </c>
      <c r="I10" s="41">
        <v>11783</v>
      </c>
      <c r="J10" s="41">
        <v>12510</v>
      </c>
      <c r="K10" s="41">
        <v>13146</v>
      </c>
      <c r="L10" s="41">
        <v>13617</v>
      </c>
      <c r="M10" s="41">
        <v>14158</v>
      </c>
      <c r="N10" s="41">
        <v>14731</v>
      </c>
      <c r="O10">
        <v>15229</v>
      </c>
      <c r="P10">
        <v>15856</v>
      </c>
      <c r="Q10">
        <v>16380</v>
      </c>
      <c r="R10">
        <v>16978</v>
      </c>
      <c r="S10">
        <v>17762</v>
      </c>
      <c r="T10">
        <v>18635</v>
      </c>
      <c r="U10">
        <v>19688</v>
      </c>
      <c r="V10">
        <v>20881</v>
      </c>
      <c r="W10">
        <v>22162</v>
      </c>
      <c r="X10">
        <v>23520</v>
      </c>
      <c r="Y10">
        <v>25282</v>
      </c>
      <c r="Z10">
        <v>25914</v>
      </c>
      <c r="AA10">
        <v>26198</v>
      </c>
      <c r="AB10">
        <v>26465</v>
      </c>
      <c r="AC10">
        <v>26790</v>
      </c>
      <c r="AD10">
        <v>27196</v>
      </c>
      <c r="AE10">
        <v>27622</v>
      </c>
      <c r="AF10">
        <v>27858</v>
      </c>
      <c r="AG10">
        <v>28125</v>
      </c>
      <c r="AH10">
        <v>28297</v>
      </c>
      <c r="AI10">
        <v>28511</v>
      </c>
      <c r="AJ10">
        <v>28739</v>
      </c>
      <c r="AM10" s="30"/>
    </row>
    <row r="11" spans="1:48" s="41" customFormat="1" x14ac:dyDescent="0.3">
      <c r="A11" s="41">
        <v>27823</v>
      </c>
      <c r="B11" s="55" t="s">
        <v>165</v>
      </c>
      <c r="C11" s="42"/>
      <c r="D11">
        <v>1998</v>
      </c>
      <c r="E11">
        <v>5894</v>
      </c>
      <c r="F11">
        <v>7499</v>
      </c>
      <c r="G11">
        <v>8823</v>
      </c>
      <c r="H11">
        <v>9831</v>
      </c>
      <c r="I11">
        <v>10790</v>
      </c>
      <c r="J11">
        <v>11608</v>
      </c>
      <c r="K11">
        <v>12288</v>
      </c>
      <c r="L11">
        <v>12806</v>
      </c>
      <c r="M11">
        <v>13302</v>
      </c>
      <c r="N11">
        <v>13870</v>
      </c>
      <c r="O11">
        <v>14430</v>
      </c>
      <c r="P11">
        <v>14972</v>
      </c>
      <c r="Q11">
        <v>15431</v>
      </c>
      <c r="R11">
        <v>15963</v>
      </c>
      <c r="S11">
        <v>16743</v>
      </c>
      <c r="T11">
        <v>17565</v>
      </c>
      <c r="U11">
        <v>18514</v>
      </c>
      <c r="V11">
        <v>19612</v>
      </c>
      <c r="W11">
        <v>20823</v>
      </c>
      <c r="X11">
        <v>22407</v>
      </c>
      <c r="Y11">
        <v>24139</v>
      </c>
      <c r="Z11">
        <v>24723</v>
      </c>
      <c r="AA11">
        <v>24920</v>
      </c>
      <c r="AB11">
        <v>25171</v>
      </c>
      <c r="AC11">
        <v>25518</v>
      </c>
      <c r="AD11">
        <v>25900</v>
      </c>
      <c r="AE11">
        <v>26226</v>
      </c>
      <c r="AF11">
        <v>26457</v>
      </c>
      <c r="AG11">
        <v>26672</v>
      </c>
      <c r="AH11">
        <v>26992</v>
      </c>
      <c r="AI11">
        <v>27152</v>
      </c>
      <c r="AJ11">
        <v>27344</v>
      </c>
      <c r="AM11" s="30"/>
    </row>
    <row r="12" spans="1:48" s="57" customFormat="1" x14ac:dyDescent="0.3">
      <c r="A12" s="57">
        <v>26641</v>
      </c>
      <c r="B12" s="60">
        <v>201803</v>
      </c>
      <c r="D12">
        <v>1810</v>
      </c>
      <c r="E12">
        <v>4990</v>
      </c>
      <c r="F12">
        <v>6395</v>
      </c>
      <c r="G12">
        <v>7698</v>
      </c>
      <c r="H12" s="57">
        <v>8659</v>
      </c>
      <c r="I12">
        <v>9672</v>
      </c>
      <c r="J12">
        <v>10586</v>
      </c>
      <c r="K12">
        <v>11255</v>
      </c>
      <c r="L12">
        <v>11825</v>
      </c>
      <c r="M12">
        <v>12390</v>
      </c>
      <c r="N12">
        <v>12901</v>
      </c>
      <c r="O12">
        <v>13427</v>
      </c>
      <c r="P12">
        <v>13973</v>
      </c>
      <c r="Q12" s="57">
        <v>14506</v>
      </c>
      <c r="R12">
        <v>14901</v>
      </c>
      <c r="S12">
        <v>15589</v>
      </c>
      <c r="T12">
        <v>16334</v>
      </c>
      <c r="U12">
        <v>17288</v>
      </c>
      <c r="V12">
        <v>18370</v>
      </c>
      <c r="W12">
        <v>19634</v>
      </c>
      <c r="X12">
        <v>21053</v>
      </c>
      <c r="Y12">
        <v>22743</v>
      </c>
      <c r="Z12">
        <v>23492</v>
      </c>
      <c r="AA12">
        <v>23671</v>
      </c>
      <c r="AB12">
        <v>23788</v>
      </c>
      <c r="AC12">
        <v>24129</v>
      </c>
      <c r="AD12">
        <v>24564</v>
      </c>
      <c r="AE12">
        <v>24931</v>
      </c>
      <c r="AF12">
        <v>25276</v>
      </c>
      <c r="AG12">
        <v>25420</v>
      </c>
      <c r="AH12">
        <v>25678</v>
      </c>
      <c r="AI12">
        <v>25950</v>
      </c>
      <c r="AJ12">
        <v>26144</v>
      </c>
    </row>
    <row r="13" spans="1:48" s="57" customFormat="1" x14ac:dyDescent="0.3">
      <c r="A13" s="57">
        <v>24943</v>
      </c>
      <c r="B13" s="60">
        <v>201903</v>
      </c>
      <c r="D13">
        <v>1695</v>
      </c>
      <c r="E13">
        <v>4534</v>
      </c>
      <c r="F13">
        <v>5795</v>
      </c>
      <c r="G13">
        <v>7207</v>
      </c>
      <c r="H13">
        <v>8209</v>
      </c>
      <c r="I13">
        <v>9126</v>
      </c>
      <c r="J13">
        <v>9853</v>
      </c>
      <c r="K13">
        <v>10495</v>
      </c>
      <c r="L13">
        <v>10925</v>
      </c>
      <c r="M13">
        <v>11420</v>
      </c>
      <c r="N13">
        <v>11870</v>
      </c>
      <c r="O13">
        <v>12300</v>
      </c>
      <c r="P13">
        <v>12793</v>
      </c>
      <c r="Q13">
        <v>13303</v>
      </c>
      <c r="R13">
        <v>13675</v>
      </c>
      <c r="S13">
        <v>14314</v>
      </c>
      <c r="T13">
        <v>15069</v>
      </c>
      <c r="U13">
        <v>15821</v>
      </c>
      <c r="V13">
        <v>16652</v>
      </c>
      <c r="W13">
        <v>17752</v>
      </c>
      <c r="X13">
        <v>19123</v>
      </c>
      <c r="Y13">
        <v>20549</v>
      </c>
      <c r="Z13">
        <v>21117</v>
      </c>
      <c r="AA13">
        <v>21344</v>
      </c>
      <c r="AB13">
        <v>21573</v>
      </c>
      <c r="AC13">
        <v>21966</v>
      </c>
      <c r="AD13">
        <v>22473</v>
      </c>
      <c r="AE13">
        <v>22771</v>
      </c>
      <c r="AF13">
        <v>23050</v>
      </c>
      <c r="AG13">
        <v>23293</v>
      </c>
      <c r="AH13">
        <v>23599</v>
      </c>
      <c r="AI13">
        <v>23788</v>
      </c>
      <c r="AJ13">
        <v>24006</v>
      </c>
    </row>
    <row r="14" spans="1:48" s="57" customFormat="1" x14ac:dyDescent="0.3">
      <c r="A14" s="57">
        <v>22093</v>
      </c>
      <c r="B14" s="60">
        <v>202003</v>
      </c>
      <c r="D14"/>
      <c r="E14"/>
      <c r="F14"/>
      <c r="G14"/>
      <c r="H14">
        <v>5517</v>
      </c>
      <c r="I14">
        <v>6389</v>
      </c>
      <c r="J14">
        <v>7414</v>
      </c>
      <c r="K14">
        <v>8218</v>
      </c>
      <c r="L14">
        <v>8768</v>
      </c>
      <c r="M14">
        <v>9305</v>
      </c>
      <c r="N14">
        <v>9697</v>
      </c>
      <c r="O14">
        <v>10106</v>
      </c>
      <c r="P14">
        <v>10646</v>
      </c>
      <c r="Q14">
        <v>11221</v>
      </c>
      <c r="R14">
        <v>11630</v>
      </c>
      <c r="S14">
        <v>12203</v>
      </c>
      <c r="T14">
        <v>12940</v>
      </c>
      <c r="U14">
        <v>13706</v>
      </c>
      <c r="V14">
        <v>14710</v>
      </c>
      <c r="W14">
        <v>15963</v>
      </c>
      <c r="X14">
        <v>17228</v>
      </c>
      <c r="Y14">
        <v>18860</v>
      </c>
      <c r="Z14">
        <v>19563</v>
      </c>
      <c r="AA14">
        <v>19639</v>
      </c>
      <c r="AB14">
        <v>19727</v>
      </c>
      <c r="AC14">
        <v>20037</v>
      </c>
      <c r="AD14">
        <v>20463</v>
      </c>
      <c r="AE14">
        <v>20575</v>
      </c>
      <c r="AF14">
        <v>20730</v>
      </c>
      <c r="AG14">
        <v>20872</v>
      </c>
      <c r="AH14">
        <v>21123</v>
      </c>
      <c r="AI14">
        <v>21406</v>
      </c>
      <c r="AJ14">
        <v>21507</v>
      </c>
    </row>
    <row r="15" spans="1:48" s="57" customFormat="1" x14ac:dyDescent="0.3">
      <c r="B15" s="60">
        <v>202103</v>
      </c>
      <c r="D15"/>
      <c r="E15">
        <v>1150</v>
      </c>
      <c r="F15">
        <v>3353</v>
      </c>
      <c r="G15">
        <v>4465</v>
      </c>
      <c r="H15">
        <v>5400</v>
      </c>
      <c r="I15">
        <v>6211</v>
      </c>
      <c r="J15">
        <v>6898</v>
      </c>
      <c r="K15">
        <v>7582</v>
      </c>
      <c r="L15">
        <v>8161</v>
      </c>
      <c r="M15">
        <v>8623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48" s="31" customFormat="1" x14ac:dyDescent="0.3">
      <c r="B16" s="56" t="s">
        <v>90</v>
      </c>
      <c r="C16" s="35"/>
      <c r="D16" s="35">
        <v>44284</v>
      </c>
      <c r="E16" s="35">
        <v>44291</v>
      </c>
      <c r="F16" s="35">
        <v>44298</v>
      </c>
      <c r="G16" s="35">
        <v>44305</v>
      </c>
      <c r="H16" s="35">
        <v>44312</v>
      </c>
      <c r="I16" s="35">
        <v>44319</v>
      </c>
      <c r="J16" s="35">
        <v>44326</v>
      </c>
      <c r="K16" s="35">
        <v>44333</v>
      </c>
      <c r="L16" s="35">
        <v>44340</v>
      </c>
      <c r="M16" s="35">
        <v>44347</v>
      </c>
      <c r="N16" s="35">
        <v>44354</v>
      </c>
      <c r="O16" s="35">
        <v>44361</v>
      </c>
      <c r="P16" s="35">
        <v>44368</v>
      </c>
      <c r="Q16" s="35">
        <v>44375</v>
      </c>
      <c r="R16" s="35">
        <v>44382</v>
      </c>
      <c r="S16" s="35">
        <v>44389</v>
      </c>
      <c r="T16" s="35">
        <v>44396</v>
      </c>
      <c r="U16" s="35">
        <v>44403</v>
      </c>
      <c r="V16" s="35">
        <v>44410</v>
      </c>
      <c r="W16" s="35">
        <v>44417</v>
      </c>
      <c r="X16" s="35">
        <v>44424</v>
      </c>
      <c r="Y16" s="35">
        <v>44431</v>
      </c>
      <c r="Z16" s="35">
        <v>44438</v>
      </c>
      <c r="AA16" s="35">
        <v>44445</v>
      </c>
      <c r="AB16" s="35">
        <v>44452</v>
      </c>
      <c r="AC16" s="35">
        <v>44459</v>
      </c>
      <c r="AD16" s="35">
        <v>44466</v>
      </c>
      <c r="AE16" s="35">
        <v>44473</v>
      </c>
      <c r="AF16" s="35">
        <v>44480</v>
      </c>
      <c r="AG16" s="35">
        <v>44487</v>
      </c>
      <c r="AH16" s="35">
        <v>44494</v>
      </c>
      <c r="AI16" s="35">
        <v>44501</v>
      </c>
      <c r="AJ16" s="35">
        <v>44508</v>
      </c>
      <c r="AK16" s="35">
        <v>44515</v>
      </c>
      <c r="AL16" s="35">
        <v>44522</v>
      </c>
      <c r="AM16" s="35">
        <v>44529</v>
      </c>
      <c r="AN16" s="35">
        <v>44536</v>
      </c>
      <c r="AO16" s="35">
        <v>44543</v>
      </c>
      <c r="AP16" s="35">
        <v>44550</v>
      </c>
      <c r="AQ16" s="35">
        <v>44557</v>
      </c>
      <c r="AR16" s="35">
        <v>44564</v>
      </c>
      <c r="AS16" s="35">
        <v>44571</v>
      </c>
      <c r="AT16" s="35">
        <v>44578</v>
      </c>
      <c r="AU16" s="35">
        <v>44585</v>
      </c>
      <c r="AV16" s="35"/>
    </row>
    <row r="17" spans="1:48" s="41" customFormat="1" x14ac:dyDescent="0.3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9" spans="1:48" x14ac:dyDescent="0.3">
      <c r="A19" s="14"/>
      <c r="E19" t="s">
        <v>91</v>
      </c>
      <c r="F19"/>
      <c r="G19"/>
      <c r="H19"/>
      <c r="I19"/>
      <c r="J19"/>
      <c r="K19"/>
      <c r="L19"/>
      <c r="M19"/>
    </row>
    <row r="20" spans="1:48" ht="15" thickBot="1" x14ac:dyDescent="0.35">
      <c r="E20"/>
      <c r="F20"/>
      <c r="G20"/>
      <c r="H20"/>
      <c r="I20"/>
      <c r="J20"/>
      <c r="K20"/>
      <c r="L20"/>
      <c r="M20"/>
    </row>
    <row r="21" spans="1:48" x14ac:dyDescent="0.3">
      <c r="E21" s="27" t="s">
        <v>92</v>
      </c>
      <c r="F21" s="27"/>
      <c r="G21"/>
      <c r="H21"/>
      <c r="I21"/>
      <c r="J21"/>
      <c r="K21"/>
      <c r="L21"/>
      <c r="M21"/>
    </row>
    <row r="22" spans="1:48" x14ac:dyDescent="0.3">
      <c r="E22" s="24" t="s">
        <v>93</v>
      </c>
      <c r="F22" s="24">
        <v>0.8876187987818327</v>
      </c>
      <c r="G22"/>
      <c r="H22"/>
      <c r="I22"/>
      <c r="J22"/>
      <c r="K22"/>
      <c r="L22"/>
      <c r="M22"/>
    </row>
    <row r="23" spans="1:48" x14ac:dyDescent="0.3">
      <c r="E23" s="24" t="s">
        <v>94</v>
      </c>
      <c r="F23" s="24">
        <v>0.78786713195090363</v>
      </c>
      <c r="G23"/>
      <c r="H23"/>
      <c r="I23"/>
      <c r="J23"/>
      <c r="K23"/>
      <c r="L23"/>
      <c r="M23"/>
    </row>
    <row r="24" spans="1:48" x14ac:dyDescent="0.3">
      <c r="E24" s="24" t="s">
        <v>95</v>
      </c>
      <c r="F24" s="24">
        <v>0.76858232576462204</v>
      </c>
      <c r="G24"/>
      <c r="H24"/>
      <c r="I24"/>
      <c r="J24"/>
      <c r="K24"/>
      <c r="L24"/>
      <c r="M24"/>
    </row>
    <row r="25" spans="1:48" x14ac:dyDescent="0.3">
      <c r="E25" s="24" t="s">
        <v>96</v>
      </c>
      <c r="F25" s="24">
        <v>1914.2239571515909</v>
      </c>
      <c r="G25"/>
      <c r="H25"/>
      <c r="I25"/>
      <c r="J25"/>
      <c r="K25"/>
      <c r="L25"/>
      <c r="M25"/>
    </row>
    <row r="26" spans="1:48" ht="15" thickBot="1" x14ac:dyDescent="0.35">
      <c r="E26" s="25" t="s">
        <v>97</v>
      </c>
      <c r="F26" s="25">
        <v>13</v>
      </c>
      <c r="G26"/>
      <c r="H26"/>
      <c r="I26"/>
      <c r="J26"/>
      <c r="K26"/>
      <c r="L26"/>
      <c r="M26"/>
    </row>
    <row r="27" spans="1:48" x14ac:dyDescent="0.3">
      <c r="E27"/>
      <c r="F27"/>
      <c r="G27"/>
      <c r="H27"/>
      <c r="I27"/>
      <c r="J27"/>
      <c r="K27"/>
      <c r="L27"/>
      <c r="M27"/>
    </row>
    <row r="28" spans="1:48" ht="15" thickBot="1" x14ac:dyDescent="0.35">
      <c r="E28" t="s">
        <v>98</v>
      </c>
      <c r="F28"/>
      <c r="G28"/>
      <c r="H28"/>
      <c r="I28"/>
      <c r="J28"/>
      <c r="K28"/>
      <c r="L28"/>
      <c r="M28"/>
    </row>
    <row r="29" spans="1:48" x14ac:dyDescent="0.3">
      <c r="E29" s="26"/>
      <c r="F29" s="26" t="s">
        <v>99</v>
      </c>
      <c r="G29" s="26" t="s">
        <v>100</v>
      </c>
      <c r="H29" s="26" t="s">
        <v>101</v>
      </c>
      <c r="I29" s="26" t="s">
        <v>102</v>
      </c>
      <c r="J29" s="26" t="s">
        <v>103</v>
      </c>
      <c r="K29"/>
      <c r="L29"/>
      <c r="M29"/>
    </row>
    <row r="30" spans="1:48" x14ac:dyDescent="0.3">
      <c r="E30" s="24" t="s">
        <v>104</v>
      </c>
      <c r="F30" s="24">
        <v>1</v>
      </c>
      <c r="G30" s="24">
        <v>149700482.13745901</v>
      </c>
      <c r="H30" s="24">
        <v>149700482.13745901</v>
      </c>
      <c r="I30" s="24">
        <v>40.854293496159897</v>
      </c>
      <c r="J30" s="24">
        <v>5.1389395603275939E-5</v>
      </c>
      <c r="K30"/>
      <c r="L30"/>
      <c r="M30"/>
    </row>
    <row r="31" spans="1:48" x14ac:dyDescent="0.3">
      <c r="E31" s="24" t="s">
        <v>105</v>
      </c>
      <c r="F31" s="24">
        <v>11</v>
      </c>
      <c r="G31" s="24">
        <v>40306786.939464055</v>
      </c>
      <c r="H31" s="24">
        <v>3664253.3581330958</v>
      </c>
      <c r="I31" s="24"/>
      <c r="J31" s="24"/>
      <c r="K31"/>
      <c r="L31"/>
      <c r="M31"/>
    </row>
    <row r="32" spans="1:48" ht="15" thickBot="1" x14ac:dyDescent="0.35">
      <c r="E32" s="25" t="s">
        <v>106</v>
      </c>
      <c r="F32" s="25">
        <v>12</v>
      </c>
      <c r="G32" s="25">
        <v>190007269.07692307</v>
      </c>
      <c r="H32" s="25"/>
      <c r="I32" s="25"/>
      <c r="J32" s="25"/>
      <c r="K32"/>
      <c r="L32"/>
      <c r="M32"/>
    </row>
    <row r="33" spans="1:13" ht="15" thickBot="1" x14ac:dyDescent="0.35">
      <c r="E33"/>
      <c r="F33"/>
      <c r="G33"/>
      <c r="H33"/>
      <c r="I33"/>
      <c r="J33"/>
      <c r="K33"/>
      <c r="L33"/>
      <c r="M33"/>
    </row>
    <row r="34" spans="1:13" x14ac:dyDescent="0.3">
      <c r="E34" s="26"/>
      <c r="F34" s="26" t="s">
        <v>107</v>
      </c>
      <c r="G34" s="26" t="s">
        <v>96</v>
      </c>
      <c r="H34" s="26" t="s">
        <v>108</v>
      </c>
      <c r="I34" s="26" t="s">
        <v>109</v>
      </c>
      <c r="J34" s="26" t="s">
        <v>110</v>
      </c>
      <c r="K34" s="26" t="s">
        <v>111</v>
      </c>
      <c r="L34" s="26" t="s">
        <v>112</v>
      </c>
      <c r="M34" s="26" t="s">
        <v>113</v>
      </c>
    </row>
    <row r="35" spans="1:13" x14ac:dyDescent="0.3">
      <c r="E35" s="24" t="s">
        <v>114</v>
      </c>
      <c r="F35" s="24">
        <v>9567.2705654263809</v>
      </c>
      <c r="G35" s="24">
        <v>3293.5728053868415</v>
      </c>
      <c r="H35" s="24">
        <v>2.9048304472816024</v>
      </c>
      <c r="I35" s="24">
        <v>1.4320840623352689E-2</v>
      </c>
      <c r="J35" s="24">
        <v>2318.165697088557</v>
      </c>
      <c r="K35" s="24">
        <v>16816.375433764206</v>
      </c>
      <c r="L35" s="24">
        <v>2318.165697088557</v>
      </c>
      <c r="M35" s="24">
        <v>16816.375433764206</v>
      </c>
    </row>
    <row r="36" spans="1:13" ht="15" thickBot="1" x14ac:dyDescent="0.35">
      <c r="E36" s="25" t="s">
        <v>59</v>
      </c>
      <c r="F36" s="25">
        <v>1.4499507864602557</v>
      </c>
      <c r="G36" s="25">
        <v>0.22684771528999514</v>
      </c>
      <c r="H36" s="25">
        <v>6.3917363443871729</v>
      </c>
      <c r="I36" s="25">
        <v>5.1389395603275939E-5</v>
      </c>
      <c r="J36" s="25">
        <v>0.95066233150628332</v>
      </c>
      <c r="K36" s="25">
        <v>1.9492392414142281</v>
      </c>
      <c r="L36" s="25">
        <v>0.95066233150628332</v>
      </c>
      <c r="M36" s="25">
        <v>1.9492392414142281</v>
      </c>
    </row>
    <row r="37" spans="1:13" x14ac:dyDescent="0.3">
      <c r="E37"/>
      <c r="F37"/>
      <c r="G37"/>
      <c r="H37"/>
      <c r="I37"/>
      <c r="J37"/>
      <c r="K37"/>
      <c r="L37"/>
      <c r="M37"/>
    </row>
    <row r="38" spans="1:13" x14ac:dyDescent="0.3">
      <c r="A38" s="12" t="str">
        <f>CONCATENATE("Regression equation is: ", F35, " + ", E36, " * ", F36)</f>
        <v>Regression equation is: 9567.27056542638 + week 11 * 1.44995078646026</v>
      </c>
      <c r="E38"/>
      <c r="F38"/>
      <c r="G38"/>
      <c r="H38"/>
      <c r="I38"/>
      <c r="J38"/>
      <c r="K38"/>
      <c r="L38"/>
      <c r="M38"/>
    </row>
    <row r="39" spans="1:13" x14ac:dyDescent="0.3">
      <c r="E39"/>
      <c r="F39"/>
      <c r="G39"/>
      <c r="H39"/>
      <c r="I39"/>
      <c r="J39"/>
      <c r="K39"/>
      <c r="L39"/>
      <c r="M39"/>
    </row>
    <row r="40" spans="1:13" x14ac:dyDescent="0.3">
      <c r="E40" s="28" t="s">
        <v>119</v>
      </c>
      <c r="F40" s="15">
        <f>AVERAGE(M2:M14)</f>
        <v>14329</v>
      </c>
      <c r="H40" s="18" t="s">
        <v>121</v>
      </c>
      <c r="I40" s="33">
        <v>0.9</v>
      </c>
      <c r="J40" s="18" t="s">
        <v>122</v>
      </c>
      <c r="K40" s="17">
        <f>1-I40</f>
        <v>9.9999999999999978E-2</v>
      </c>
    </row>
    <row r="41" spans="1:13" x14ac:dyDescent="0.3">
      <c r="E41" s="28" t="s">
        <v>120</v>
      </c>
      <c r="F41" s="12">
        <f>STDEV(M2:M14)</f>
        <v>2435.9463253528393</v>
      </c>
    </row>
    <row r="42" spans="1:13" x14ac:dyDescent="0.3">
      <c r="E42" s="28"/>
    </row>
    <row r="43" spans="1:13" x14ac:dyDescent="0.3">
      <c r="E43" s="29" t="s">
        <v>132</v>
      </c>
      <c r="F43" s="19" t="s">
        <v>123</v>
      </c>
      <c r="G43" s="19" t="s">
        <v>124</v>
      </c>
      <c r="H43" s="19" t="s">
        <v>125</v>
      </c>
      <c r="I43" s="19" t="s">
        <v>126</v>
      </c>
      <c r="J43" s="19" t="s">
        <v>127</v>
      </c>
      <c r="K43" s="19" t="s">
        <v>128</v>
      </c>
    </row>
    <row r="44" spans="1:13" ht="15.75" customHeight="1" x14ac:dyDescent="0.3">
      <c r="E44">
        <v>8623</v>
      </c>
      <c r="F44" s="16">
        <f>TINV(K40, F31)</f>
        <v>1.7958848187040437</v>
      </c>
      <c r="G44" s="16">
        <f>F25*SQRT(1+1/F26+(E44-F40)^2/F41^2/F32)</f>
        <v>2370.9855342789833</v>
      </c>
      <c r="H44" s="16">
        <f>F44*G44</f>
        <v>4258.0169263785219</v>
      </c>
      <c r="I44" s="34">
        <f>J44-H44</f>
        <v>17812.179270694643</v>
      </c>
      <c r="J44" s="34">
        <f>F35+E44*F36</f>
        <v>22070.196197073165</v>
      </c>
      <c r="K44" s="34">
        <f>J44+H44</f>
        <v>26328.213123451686</v>
      </c>
    </row>
  </sheetData>
  <pageMargins left="0.7" right="0.7" top="0.75" bottom="0.75" header="0.3" footer="0.3"/>
  <pageSetup orientation="portrait" verticalDpi="601" r:id="rId1"/>
  <ignoredErrors>
    <ignoredError sqref="B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Fall 202103 FSR Summary</vt:lpstr>
      <vt:lpstr>data</vt:lpstr>
      <vt:lpstr>uaa PI</vt:lpstr>
      <vt:lpstr>uaf PI</vt:lpstr>
      <vt:lpstr>uas PI</vt:lpstr>
      <vt:lpstr>system PI</vt:lpstr>
      <vt:lpstr>'Fall 202103 FSR Summary'!Print_Area</vt:lpstr>
    </vt:vector>
  </TitlesOfParts>
  <Company>University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Campbell</dc:creator>
  <cp:lastModifiedBy>Rita F Murphy</cp:lastModifiedBy>
  <cp:lastPrinted>2021-05-11T17:41:26Z</cp:lastPrinted>
  <dcterms:created xsi:type="dcterms:W3CDTF">2003-01-08T19:32:21Z</dcterms:created>
  <dcterms:modified xsi:type="dcterms:W3CDTF">2021-06-03T21:06:02Z</dcterms:modified>
</cp:coreProperties>
</file>